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C:\Users\e195\Desktop\FMS RFP For Branches\Design\Functional Specification Document\RFP 2025\Corrigendum\"/>
    </mc:Choice>
  </mc:AlternateContent>
  <xr:revisionPtr revIDLastSave="0" documentId="13_ncr:1_{C178D5AE-F115-4596-938D-96494CFA784F}" xr6:coauthVersionLast="36" xr6:coauthVersionMax="36" xr10:uidLastSave="{00000000-0000-0000-0000-000000000000}"/>
  <bookViews>
    <workbookView xWindow="0" yWindow="0" windowWidth="20490" windowHeight="7545" xr2:uid="{27717878-2CB3-4937-A2FA-210459D8AB13}"/>
  </bookViews>
  <sheets>
    <sheet name="Sheet1" sheetId="1" r:id="rId1"/>
    <sheet name="Sheet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7" i="1" l="1"/>
  <c r="H116" i="1" l="1"/>
  <c r="M116" i="1"/>
  <c r="R116" i="1"/>
  <c r="W116" i="1"/>
  <c r="H148" i="1"/>
  <c r="M148" i="1"/>
  <c r="R148" i="1"/>
  <c r="W148" i="1"/>
  <c r="H52" i="1"/>
  <c r="M52" i="1"/>
  <c r="R52" i="1"/>
  <c r="W52" i="1"/>
  <c r="H84" i="1"/>
  <c r="M84" i="1"/>
  <c r="R84" i="1"/>
  <c r="W84" i="1"/>
  <c r="H20" i="1"/>
  <c r="M20" i="1"/>
  <c r="R20" i="1"/>
  <c r="W20" i="1"/>
  <c r="F10" i="2" l="1"/>
  <c r="V155" i="1" l="1"/>
  <c r="U155" i="1"/>
  <c r="T155" i="1"/>
  <c r="Q155" i="1"/>
  <c r="R155" i="1" s="1"/>
  <c r="P155" i="1"/>
  <c r="O155" i="1"/>
  <c r="L155" i="1"/>
  <c r="K155" i="1"/>
  <c r="J155" i="1"/>
  <c r="G155" i="1"/>
  <c r="F155" i="1"/>
  <c r="E155" i="1"/>
  <c r="V154" i="1"/>
  <c r="U154" i="1"/>
  <c r="T154" i="1"/>
  <c r="Q154" i="1"/>
  <c r="R154" i="1" s="1"/>
  <c r="R156" i="1" s="1"/>
  <c r="P154" i="1"/>
  <c r="O154" i="1"/>
  <c r="L154" i="1"/>
  <c r="K154" i="1"/>
  <c r="J154" i="1"/>
  <c r="G154" i="1"/>
  <c r="F154" i="1"/>
  <c r="E154" i="1"/>
  <c r="W147" i="1"/>
  <c r="R147" i="1"/>
  <c r="M147" i="1"/>
  <c r="H147" i="1"/>
  <c r="W146" i="1"/>
  <c r="R146" i="1"/>
  <c r="M146" i="1"/>
  <c r="H146" i="1"/>
  <c r="W145" i="1"/>
  <c r="R145" i="1"/>
  <c r="M145" i="1"/>
  <c r="H145" i="1"/>
  <c r="W144" i="1"/>
  <c r="R144" i="1"/>
  <c r="M144" i="1"/>
  <c r="H144" i="1"/>
  <c r="W143" i="1"/>
  <c r="R143" i="1"/>
  <c r="M143" i="1"/>
  <c r="H143" i="1"/>
  <c r="W142" i="1"/>
  <c r="W149" i="1" s="1"/>
  <c r="R142" i="1"/>
  <c r="R149" i="1" s="1"/>
  <c r="M142" i="1"/>
  <c r="M149" i="1" s="1"/>
  <c r="H142" i="1"/>
  <c r="H149" i="1" s="1"/>
  <c r="R139" i="1"/>
  <c r="V138" i="1"/>
  <c r="Q138" i="1"/>
  <c r="P138" i="1"/>
  <c r="O138" i="1"/>
  <c r="L138" i="1"/>
  <c r="J138" i="1"/>
  <c r="E138" i="1"/>
  <c r="V137" i="1"/>
  <c r="Q137" i="1"/>
  <c r="P137" i="1"/>
  <c r="O137" i="1"/>
  <c r="L137" i="1"/>
  <c r="K137" i="1"/>
  <c r="G137" i="1"/>
  <c r="F137" i="1"/>
  <c r="E137" i="1"/>
  <c r="V136" i="1"/>
  <c r="U136" i="1"/>
  <c r="T136" i="1"/>
  <c r="Q136" i="1"/>
  <c r="P136" i="1"/>
  <c r="O136" i="1"/>
  <c r="L136" i="1"/>
  <c r="K136" i="1"/>
  <c r="F136" i="1"/>
  <c r="E136" i="1"/>
  <c r="V135" i="1"/>
  <c r="U135" i="1"/>
  <c r="T135" i="1"/>
  <c r="Q135" i="1"/>
  <c r="P135" i="1"/>
  <c r="O135" i="1"/>
  <c r="L135" i="1"/>
  <c r="F135" i="1"/>
  <c r="E135" i="1"/>
  <c r="H135" i="1" s="1"/>
  <c r="V123" i="1"/>
  <c r="U123" i="1"/>
  <c r="T123" i="1"/>
  <c r="Q123" i="1"/>
  <c r="P123" i="1"/>
  <c r="O123" i="1"/>
  <c r="L123" i="1"/>
  <c r="K123" i="1"/>
  <c r="J123" i="1"/>
  <c r="G123" i="1"/>
  <c r="F123" i="1"/>
  <c r="E123" i="1"/>
  <c r="V122" i="1"/>
  <c r="U122" i="1"/>
  <c r="T122" i="1"/>
  <c r="Q122" i="1"/>
  <c r="P122" i="1"/>
  <c r="O122" i="1"/>
  <c r="L122" i="1"/>
  <c r="K122" i="1"/>
  <c r="J122" i="1"/>
  <c r="G122" i="1"/>
  <c r="F122" i="1"/>
  <c r="E122" i="1"/>
  <c r="W115" i="1"/>
  <c r="R115" i="1"/>
  <c r="M115" i="1"/>
  <c r="H115" i="1"/>
  <c r="W114" i="1"/>
  <c r="R114" i="1"/>
  <c r="M114" i="1"/>
  <c r="H114" i="1"/>
  <c r="W113" i="1"/>
  <c r="R113" i="1"/>
  <c r="M113" i="1"/>
  <c r="H113" i="1"/>
  <c r="W112" i="1"/>
  <c r="R112" i="1"/>
  <c r="M112" i="1"/>
  <c r="H112" i="1"/>
  <c r="W111" i="1"/>
  <c r="R111" i="1"/>
  <c r="M111" i="1"/>
  <c r="H111" i="1"/>
  <c r="W110" i="1"/>
  <c r="W117" i="1" s="1"/>
  <c r="R110" i="1"/>
  <c r="R117" i="1" s="1"/>
  <c r="M110" i="1"/>
  <c r="M117" i="1" s="1"/>
  <c r="H110" i="1"/>
  <c r="H117" i="1" s="1"/>
  <c r="V106" i="1"/>
  <c r="U106" i="1"/>
  <c r="Q106" i="1"/>
  <c r="L106" i="1"/>
  <c r="E106" i="1"/>
  <c r="I106" i="1" s="1"/>
  <c r="V105" i="1"/>
  <c r="U105" i="1"/>
  <c r="T105" i="1"/>
  <c r="Q105" i="1"/>
  <c r="O105" i="1"/>
  <c r="E105" i="1"/>
  <c r="H105" i="1" s="1"/>
  <c r="V104" i="1"/>
  <c r="U104" i="1"/>
  <c r="T104" i="1"/>
  <c r="Q104" i="1"/>
  <c r="O104" i="1"/>
  <c r="L104" i="1"/>
  <c r="J104" i="1"/>
  <c r="E104" i="1"/>
  <c r="I104" i="1" s="1"/>
  <c r="V103" i="1"/>
  <c r="U103" i="1"/>
  <c r="T103" i="1"/>
  <c r="O103" i="1"/>
  <c r="L103" i="1"/>
  <c r="I103" i="1"/>
  <c r="H103" i="1"/>
  <c r="V91" i="1"/>
  <c r="U91" i="1"/>
  <c r="T91" i="1"/>
  <c r="Q91" i="1"/>
  <c r="P91" i="1"/>
  <c r="O91" i="1"/>
  <c r="L91" i="1"/>
  <c r="K91" i="1"/>
  <c r="J91" i="1"/>
  <c r="G91" i="1"/>
  <c r="F91" i="1"/>
  <c r="E91" i="1"/>
  <c r="V90" i="1"/>
  <c r="U90" i="1"/>
  <c r="T90" i="1"/>
  <c r="Q90" i="1"/>
  <c r="P90" i="1"/>
  <c r="O90" i="1"/>
  <c r="L90" i="1"/>
  <c r="K90" i="1"/>
  <c r="J90" i="1"/>
  <c r="G90" i="1"/>
  <c r="F90" i="1"/>
  <c r="E90" i="1"/>
  <c r="W83" i="1"/>
  <c r="R83" i="1"/>
  <c r="M83" i="1"/>
  <c r="H83" i="1"/>
  <c r="W82" i="1"/>
  <c r="R82" i="1"/>
  <c r="M82" i="1"/>
  <c r="H82" i="1"/>
  <c r="W81" i="1"/>
  <c r="R81" i="1"/>
  <c r="M81" i="1"/>
  <c r="H81" i="1"/>
  <c r="W80" i="1"/>
  <c r="R80" i="1"/>
  <c r="M80" i="1"/>
  <c r="H80" i="1"/>
  <c r="W79" i="1"/>
  <c r="R79" i="1"/>
  <c r="M79" i="1"/>
  <c r="H79" i="1"/>
  <c r="W78" i="1"/>
  <c r="W85" i="1" s="1"/>
  <c r="R78" i="1"/>
  <c r="R85" i="1" s="1"/>
  <c r="M78" i="1"/>
  <c r="M85" i="1" s="1"/>
  <c r="H78" i="1"/>
  <c r="H85" i="1" s="1"/>
  <c r="I74" i="1"/>
  <c r="H74" i="1"/>
  <c r="I73" i="1"/>
  <c r="N73" i="1" s="1"/>
  <c r="S73" i="1" s="1"/>
  <c r="W73" i="1" s="1"/>
  <c r="H73" i="1"/>
  <c r="I72" i="1"/>
  <c r="N72" i="1" s="1"/>
  <c r="H72" i="1"/>
  <c r="I71" i="1"/>
  <c r="N71" i="1" s="1"/>
  <c r="R71" i="1" s="1"/>
  <c r="H71" i="1"/>
  <c r="V59" i="1"/>
  <c r="U59" i="1"/>
  <c r="T59" i="1"/>
  <c r="Q59" i="1"/>
  <c r="P59" i="1"/>
  <c r="O59" i="1"/>
  <c r="L59" i="1"/>
  <c r="K59" i="1"/>
  <c r="J59" i="1"/>
  <c r="G59" i="1"/>
  <c r="F59" i="1"/>
  <c r="E59" i="1"/>
  <c r="V58" i="1"/>
  <c r="U58" i="1"/>
  <c r="T58" i="1"/>
  <c r="Q58" i="1"/>
  <c r="P58" i="1"/>
  <c r="O58" i="1"/>
  <c r="L58" i="1"/>
  <c r="K58" i="1"/>
  <c r="J58" i="1"/>
  <c r="G58" i="1"/>
  <c r="F58" i="1"/>
  <c r="E58" i="1"/>
  <c r="W51" i="1"/>
  <c r="R51" i="1"/>
  <c r="M51" i="1"/>
  <c r="H51" i="1"/>
  <c r="W50" i="1"/>
  <c r="R50" i="1"/>
  <c r="M50" i="1"/>
  <c r="H50" i="1"/>
  <c r="W49" i="1"/>
  <c r="R49" i="1"/>
  <c r="M49" i="1"/>
  <c r="H49" i="1"/>
  <c r="W48" i="1"/>
  <c r="R48" i="1"/>
  <c r="M48" i="1"/>
  <c r="H48" i="1"/>
  <c r="W47" i="1"/>
  <c r="R47" i="1"/>
  <c r="M47" i="1"/>
  <c r="H47" i="1"/>
  <c r="W46" i="1"/>
  <c r="W53" i="1" s="1"/>
  <c r="R46" i="1"/>
  <c r="R53" i="1" s="1"/>
  <c r="M46" i="1"/>
  <c r="M53" i="1" s="1"/>
  <c r="H46" i="1"/>
  <c r="H53" i="1" s="1"/>
  <c r="Q42" i="1"/>
  <c r="J42" i="1"/>
  <c r="E42" i="1"/>
  <c r="V41" i="1"/>
  <c r="T41" i="1"/>
  <c r="O41" i="1"/>
  <c r="G41" i="1"/>
  <c r="I41" i="1" s="1"/>
  <c r="N41" i="1" s="1"/>
  <c r="V40" i="1"/>
  <c r="T40" i="1"/>
  <c r="Q40" i="1"/>
  <c r="I40" i="1"/>
  <c r="H40" i="1"/>
  <c r="V39" i="1"/>
  <c r="T39" i="1"/>
  <c r="P39" i="1"/>
  <c r="G39" i="1"/>
  <c r="V27" i="1"/>
  <c r="U27" i="1"/>
  <c r="T27" i="1"/>
  <c r="Q27" i="1"/>
  <c r="O27" i="1"/>
  <c r="L27" i="1"/>
  <c r="M27" i="1" s="1"/>
  <c r="H27" i="1"/>
  <c r="V26" i="1"/>
  <c r="U26" i="1"/>
  <c r="T26" i="1"/>
  <c r="R26" i="1"/>
  <c r="L26" i="1"/>
  <c r="M26" i="1" s="1"/>
  <c r="H26" i="1"/>
  <c r="W19" i="1"/>
  <c r="R19" i="1"/>
  <c r="M19" i="1"/>
  <c r="H19" i="1"/>
  <c r="W18" i="1"/>
  <c r="R18" i="1"/>
  <c r="M18" i="1"/>
  <c r="H18" i="1"/>
  <c r="W17" i="1"/>
  <c r="R17" i="1"/>
  <c r="M17" i="1"/>
  <c r="H17" i="1"/>
  <c r="W16" i="1"/>
  <c r="R16" i="1"/>
  <c r="M16" i="1"/>
  <c r="H16" i="1"/>
  <c r="W15" i="1"/>
  <c r="R15" i="1"/>
  <c r="M15" i="1"/>
  <c r="H15" i="1"/>
  <c r="W14" i="1"/>
  <c r="W21" i="1" s="1"/>
  <c r="R14" i="1"/>
  <c r="R21" i="1" s="1"/>
  <c r="M14" i="1"/>
  <c r="M21" i="1" s="1"/>
  <c r="H14" i="1"/>
  <c r="H21" i="1" s="1"/>
  <c r="V10" i="1"/>
  <c r="O10" i="1"/>
  <c r="L10" i="1"/>
  <c r="I10" i="1"/>
  <c r="H10" i="1"/>
  <c r="V9" i="1"/>
  <c r="T9" i="1"/>
  <c r="O9" i="1"/>
  <c r="L9" i="1"/>
  <c r="I9" i="1"/>
  <c r="H9" i="1"/>
  <c r="V8" i="1"/>
  <c r="T8" i="1"/>
  <c r="Q8" i="1"/>
  <c r="O8" i="1"/>
  <c r="L8" i="1"/>
  <c r="I8" i="1"/>
  <c r="H8" i="1"/>
  <c r="T7" i="1"/>
  <c r="O7" i="1"/>
  <c r="L7" i="1"/>
  <c r="I7" i="1"/>
  <c r="H7" i="1"/>
  <c r="H136" i="1" l="1"/>
  <c r="M10" i="1"/>
  <c r="H41" i="1"/>
  <c r="I105" i="1"/>
  <c r="N105" i="1" s="1"/>
  <c r="R105" i="1" s="1"/>
  <c r="H28" i="1"/>
  <c r="I136" i="1"/>
  <c r="N136" i="1" s="1"/>
  <c r="S136" i="1" s="1"/>
  <c r="W136" i="1" s="1"/>
  <c r="M106" i="1"/>
  <c r="N10" i="1"/>
  <c r="R10" i="1" s="1"/>
  <c r="M8" i="1"/>
  <c r="H106" i="1"/>
  <c r="W27" i="1"/>
  <c r="M104" i="1"/>
  <c r="W26" i="1"/>
  <c r="H75" i="1"/>
  <c r="M7" i="1"/>
  <c r="N9" i="1"/>
  <c r="S9" i="1" s="1"/>
  <c r="W9" i="1" s="1"/>
  <c r="R27" i="1"/>
  <c r="R28" i="1" s="1"/>
  <c r="S41" i="1"/>
  <c r="W41" i="1" s="1"/>
  <c r="N8" i="1"/>
  <c r="S8" i="1" s="1"/>
  <c r="W8" i="1" s="1"/>
  <c r="M41" i="1"/>
  <c r="M72" i="1"/>
  <c r="M73" i="1"/>
  <c r="H104" i="1"/>
  <c r="H107" i="1" s="1"/>
  <c r="H137" i="1"/>
  <c r="M154" i="1"/>
  <c r="M155" i="1"/>
  <c r="W58" i="1"/>
  <c r="W59" i="1"/>
  <c r="I135" i="1"/>
  <c r="N135" i="1" s="1"/>
  <c r="S135" i="1" s="1"/>
  <c r="W135" i="1" s="1"/>
  <c r="H154" i="1"/>
  <c r="H155" i="1"/>
  <c r="M9" i="1"/>
  <c r="N7" i="1"/>
  <c r="S7" i="1" s="1"/>
  <c r="W7" i="1" s="1"/>
  <c r="R41" i="1"/>
  <c r="R90" i="1"/>
  <c r="R91" i="1"/>
  <c r="W122" i="1"/>
  <c r="W123" i="1"/>
  <c r="I137" i="1"/>
  <c r="N137" i="1" s="1"/>
  <c r="S137" i="1" s="1"/>
  <c r="W137" i="1" s="1"/>
  <c r="W154" i="1"/>
  <c r="W155" i="1"/>
  <c r="R157" i="1"/>
  <c r="U167" i="1" s="1"/>
  <c r="I138" i="1"/>
  <c r="H138" i="1"/>
  <c r="H11" i="1"/>
  <c r="I39" i="1"/>
  <c r="H39" i="1"/>
  <c r="N40" i="1"/>
  <c r="M40" i="1"/>
  <c r="I42" i="1"/>
  <c r="H42" i="1"/>
  <c r="R58" i="1"/>
  <c r="R59" i="1"/>
  <c r="M71" i="1"/>
  <c r="R73" i="1"/>
  <c r="M90" i="1"/>
  <c r="M91" i="1"/>
  <c r="R122" i="1"/>
  <c r="R123" i="1"/>
  <c r="N104" i="1"/>
  <c r="M28" i="1"/>
  <c r="M58" i="1"/>
  <c r="M59" i="1"/>
  <c r="S71" i="1"/>
  <c r="W71" i="1" s="1"/>
  <c r="H90" i="1"/>
  <c r="H91" i="1"/>
  <c r="N106" i="1"/>
  <c r="M122" i="1"/>
  <c r="M123" i="1"/>
  <c r="M135" i="1"/>
  <c r="M136" i="1"/>
  <c r="H58" i="1"/>
  <c r="H59" i="1"/>
  <c r="S72" i="1"/>
  <c r="W72" i="1" s="1"/>
  <c r="R72" i="1"/>
  <c r="N74" i="1"/>
  <c r="M74" i="1"/>
  <c r="W90" i="1"/>
  <c r="W91" i="1"/>
  <c r="N103" i="1"/>
  <c r="M103" i="1"/>
  <c r="H122" i="1"/>
  <c r="H123" i="1"/>
  <c r="S105" i="1" l="1"/>
  <c r="W105" i="1" s="1"/>
  <c r="M105" i="1"/>
  <c r="S10" i="1"/>
  <c r="W10" i="1" s="1"/>
  <c r="M107" i="1"/>
  <c r="M60" i="1"/>
  <c r="R124" i="1"/>
  <c r="M75" i="1"/>
  <c r="R9" i="1"/>
  <c r="M92" i="1"/>
  <c r="R60" i="1"/>
  <c r="W28" i="1"/>
  <c r="R8" i="1"/>
  <c r="R7" i="1"/>
  <c r="W124" i="1"/>
  <c r="H156" i="1"/>
  <c r="M11" i="1"/>
  <c r="H124" i="1"/>
  <c r="W92" i="1"/>
  <c r="M137" i="1"/>
  <c r="R92" i="1"/>
  <c r="W60" i="1"/>
  <c r="H29" i="1"/>
  <c r="W11" i="1"/>
  <c r="W29" i="1" s="1"/>
  <c r="F167" i="1" s="1"/>
  <c r="M29" i="1"/>
  <c r="D167" i="1" s="1"/>
  <c r="H139" i="1"/>
  <c r="W156" i="1"/>
  <c r="M156" i="1"/>
  <c r="M124" i="1"/>
  <c r="M125" i="1" s="1"/>
  <c r="P167" i="1" s="1"/>
  <c r="H125" i="1"/>
  <c r="O167" i="1" s="1"/>
  <c r="N39" i="1"/>
  <c r="M39" i="1"/>
  <c r="S103" i="1"/>
  <c r="W103" i="1" s="1"/>
  <c r="R103" i="1"/>
  <c r="S106" i="1"/>
  <c r="W106" i="1" s="1"/>
  <c r="R106" i="1"/>
  <c r="R104" i="1"/>
  <c r="S104" i="1"/>
  <c r="W104" i="1" s="1"/>
  <c r="S40" i="1"/>
  <c r="W40" i="1" s="1"/>
  <c r="R40" i="1"/>
  <c r="N42" i="1"/>
  <c r="M42" i="1"/>
  <c r="N138" i="1"/>
  <c r="S138" i="1" s="1"/>
  <c r="W138" i="1" s="1"/>
  <c r="W139" i="1" s="1"/>
  <c r="W157" i="1" s="1"/>
  <c r="V167" i="1" s="1"/>
  <c r="M138" i="1"/>
  <c r="R74" i="1"/>
  <c r="R75" i="1" s="1"/>
  <c r="S74" i="1"/>
  <c r="W74" i="1" s="1"/>
  <c r="W75" i="1" s="1"/>
  <c r="H60" i="1"/>
  <c r="H92" i="1"/>
  <c r="H93" i="1" s="1"/>
  <c r="K167" i="1" s="1"/>
  <c r="H43" i="1"/>
  <c r="W93" i="1" l="1"/>
  <c r="N167" i="1" s="1"/>
  <c r="R11" i="1"/>
  <c r="R29" i="1" s="1"/>
  <c r="E167" i="1" s="1"/>
  <c r="C168" i="1" s="1"/>
  <c r="M93" i="1"/>
  <c r="L167" i="1" s="1"/>
  <c r="H61" i="1"/>
  <c r="G167" i="1" s="1"/>
  <c r="H157" i="1"/>
  <c r="S167" i="1" s="1"/>
  <c r="M139" i="1"/>
  <c r="M157" i="1" s="1"/>
  <c r="T167" i="1" s="1"/>
  <c r="R93" i="1"/>
  <c r="M167" i="1" s="1"/>
  <c r="S42" i="1"/>
  <c r="W42" i="1" s="1"/>
  <c r="R42" i="1"/>
  <c r="R39" i="1"/>
  <c r="S39" i="1"/>
  <c r="W39" i="1" s="1"/>
  <c r="R107" i="1"/>
  <c r="R125" i="1" s="1"/>
  <c r="Q167" i="1" s="1"/>
  <c r="M43" i="1"/>
  <c r="M61" i="1" s="1"/>
  <c r="H167" i="1" s="1"/>
  <c r="W107" i="1"/>
  <c r="W125" i="1" s="1"/>
  <c r="R167" i="1" s="1"/>
  <c r="K168" i="1" l="1"/>
  <c r="S168" i="1"/>
  <c r="R43" i="1"/>
  <c r="R61" i="1" s="1"/>
  <c r="I167" i="1" s="1"/>
  <c r="O168" i="1"/>
  <c r="W43" i="1"/>
  <c r="W61" i="1" s="1"/>
  <c r="J167" i="1" s="1"/>
  <c r="G168" i="1" l="1"/>
  <c r="C16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E1989</author>
    <author>Gururaj Poojary</author>
    <author>Santosh Mankar</author>
  </authors>
  <commentList>
    <comment ref="B7" authorId="0" shapeId="0" xr:uid="{1817F13D-C0E5-4433-8EFB-340CA6A2FAA7}">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8" authorId="0" shapeId="0" xr:uid="{77E61D6C-59B2-4B93-B1F0-E97BD63AB02A}">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9" authorId="0" shapeId="0" xr:uid="{743642CB-D8F3-4ED0-9F46-760AF209B08E}">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0" authorId="1" shapeId="0" xr:uid="{CC7D6ECA-5179-4232-940A-E2C51F4EF2C0}">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4" authorId="0" shapeId="0" xr:uid="{269502EE-2CEC-4D5D-B124-4C94607CF68D}">
      <text>
        <r>
          <rPr>
            <sz val="9"/>
            <color indexed="81"/>
            <rFont val="Tahoma"/>
            <family val="2"/>
          </rPr>
          <t>One Project Manager Cost per month is to be quoted here. This person will be stationed at SBIL Belapur</t>
        </r>
      </text>
    </comment>
    <comment ref="B15" authorId="0" shapeId="0" xr:uid="{BCD5312A-F26C-4DA4-B5A4-79EF0CD78832}">
      <text>
        <r>
          <rPr>
            <sz val="9"/>
            <color indexed="81"/>
            <rFont val="Tahoma"/>
            <family val="2"/>
          </rPr>
          <t>Two team Leads Cost per month is to be quoted here. These persons will be stationed at SBIL Belapur</t>
        </r>
      </text>
    </comment>
    <comment ref="B16" authorId="1" shapeId="0" xr:uid="{5734AE99-13E1-44BD-8C10-8745EAE186DB}">
      <text>
        <r>
          <rPr>
            <sz val="9"/>
            <color indexed="81"/>
            <rFont val="Tahoma"/>
            <family val="2"/>
          </rPr>
          <t xml:space="preserve">Two Compliance support engineer Cost per month is to be quoted here. These persons will be stationed at SBIL Belapur
</t>
        </r>
      </text>
    </comment>
    <comment ref="B17" authorId="1" shapeId="0" xr:uid="{C4AEADD9-4279-4A54-A9DF-6FF332EF7EF5}">
      <text>
        <r>
          <rPr>
            <sz val="9"/>
            <color indexed="81"/>
            <rFont val="Tahoma"/>
            <family val="2"/>
          </rPr>
          <t xml:space="preserve">One L2 Compliance support engineer Cost per month is to be quoted here. These persons will be stationed at SBIL Belapur
</t>
        </r>
      </text>
    </comment>
    <comment ref="B18" authorId="1" shapeId="0" xr:uid="{2C63E72C-6ABD-4353-9C70-033CEFFD4FAF}">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9" authorId="0" shapeId="0" xr:uid="{9D68B869-4F36-434F-A655-ED75637C63C7}">
      <text>
        <r>
          <rPr>
            <sz val="9"/>
            <color indexed="81"/>
            <rFont val="Tahoma"/>
            <family val="2"/>
          </rPr>
          <t xml:space="preserve">Unit cost for Resident Engineer (tentatively 26 in number as of now, but may change during the tenure of the contract). Quote per engineer per month cost. </t>
        </r>
      </text>
    </comment>
    <comment ref="B20" authorId="2" shapeId="0" xr:uid="{9F4AB4CB-F6ED-4419-B8C0-3E6FD89807DF}">
      <text>
        <r>
          <rPr>
            <sz val="9"/>
            <color indexed="81"/>
            <rFont val="Tahoma"/>
            <family val="2"/>
          </rPr>
          <t>4 zonal corridnaror Cost per month is to be quoted here. These persons will be stationed at SBIL Belapur</t>
        </r>
        <r>
          <rPr>
            <b/>
            <sz val="9"/>
            <color indexed="81"/>
            <rFont val="Tahoma"/>
            <charset val="1"/>
          </rPr>
          <t xml:space="preserve">
</t>
        </r>
      </text>
    </comment>
    <comment ref="B26" authorId="0" shapeId="0" xr:uid="{1D38F67C-58B5-4781-8D1F-FC9F396775B5}">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27" authorId="0" shapeId="0" xr:uid="{52611040-33FF-41B9-A0BF-47C9FF1E8B42}">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39" authorId="0" shapeId="0" xr:uid="{C4072D76-0A67-4CF2-A83B-7D1D72DD975D}">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40" authorId="0" shapeId="0" xr:uid="{E980C2FD-EC7E-4518-9BDB-E2A174DA7ECA}">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41" authorId="0" shapeId="0" xr:uid="{979E7AB2-0423-4D5B-B116-AC4E045273D5}">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42" authorId="1" shapeId="0" xr:uid="{F4E587BE-841D-4416-91A8-37719A6CEA54}">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46" authorId="0" shapeId="0" xr:uid="{FD048477-2D07-4874-972E-A7CDCE1C87B3}">
      <text>
        <r>
          <rPr>
            <sz val="9"/>
            <color indexed="81"/>
            <rFont val="Tahoma"/>
            <family val="2"/>
          </rPr>
          <t>One Project Manager Cost per month is to be quoted here. This person will be stationed at SBIL Belapur</t>
        </r>
      </text>
    </comment>
    <comment ref="B47" authorId="0" shapeId="0" xr:uid="{8F6583D3-4636-4529-995D-97159B5270C0}">
      <text>
        <r>
          <rPr>
            <sz val="9"/>
            <color indexed="81"/>
            <rFont val="Tahoma"/>
            <family val="2"/>
          </rPr>
          <t>Two team Leads Cost per month is to be quoted here. These persons will be stationed at SBIL Belapur</t>
        </r>
      </text>
    </comment>
    <comment ref="B48" authorId="1" shapeId="0" xr:uid="{02E14A41-C372-44B5-93D4-4CBC47E5F4C0}">
      <text>
        <r>
          <rPr>
            <sz val="9"/>
            <color indexed="81"/>
            <rFont val="Tahoma"/>
            <family val="2"/>
          </rPr>
          <t xml:space="preserve">Two Compliance support engineer Cost per month is to be quoted here. These persons will be stationed at SBIL Belapur
</t>
        </r>
      </text>
    </comment>
    <comment ref="B49" authorId="1" shapeId="0" xr:uid="{35987016-D8E9-4FB3-90FD-EB8EDC084B18}">
      <text>
        <r>
          <rPr>
            <sz val="9"/>
            <color indexed="81"/>
            <rFont val="Tahoma"/>
            <family val="2"/>
          </rPr>
          <t xml:space="preserve">One L2 Compliance support engineer Cost per month is to be quoted here. These persons will be stationed at SBIL Belapur
</t>
        </r>
      </text>
    </comment>
    <comment ref="B50" authorId="1" shapeId="0" xr:uid="{8945554B-1461-4EDF-817C-6B80E61CC327}">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51" authorId="0" shapeId="0" xr:uid="{31449A6D-FB68-4659-9692-950D4692673D}">
      <text>
        <r>
          <rPr>
            <sz val="9"/>
            <color indexed="81"/>
            <rFont val="Tahoma"/>
            <family val="2"/>
          </rPr>
          <t xml:space="preserve">Unit cost for Resident Engineer (tentatively 26 in number as of now, but may change during the tenure of the contract). Quote per engineer per month cost. </t>
        </r>
      </text>
    </comment>
    <comment ref="B52" authorId="2" shapeId="0" xr:uid="{BDDAD211-C7D1-457C-933E-DB38C95E251B}">
      <text>
        <r>
          <rPr>
            <sz val="9"/>
            <color indexed="81"/>
            <rFont val="Tahoma"/>
            <family val="2"/>
          </rPr>
          <t>4 zonal corridnaror Cost per month is to be quoted here. These persons will be stationed at SBIL Belapur</t>
        </r>
      </text>
    </comment>
    <comment ref="B58" authorId="0" shapeId="0" xr:uid="{8247C799-B2A0-48B2-A2AC-ACA406179BDA}">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59" authorId="0" shapeId="0" xr:uid="{305860F7-BEAC-4148-8C33-D939D7199FB8}">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71" authorId="0" shapeId="0" xr:uid="{6F83255B-8321-416A-BF4A-778C34D01B88}">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72" authorId="0" shapeId="0" xr:uid="{1CBA2BA6-7AE4-4868-AA88-A107B13F0D34}">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73" authorId="0" shapeId="0" xr:uid="{0924BCB2-6FFE-41B2-BE69-5FBE1160A98F}">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74" authorId="1" shapeId="0" xr:uid="{9B19BF52-15B9-4D6D-ABC0-73FDF3BC87DB}">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78" authorId="0" shapeId="0" xr:uid="{60BEA79A-96AA-4393-B876-DA511806E24B}">
      <text>
        <r>
          <rPr>
            <sz val="9"/>
            <color indexed="81"/>
            <rFont val="Tahoma"/>
            <family val="2"/>
          </rPr>
          <t>One Project Manager Cost per month is to be quoted here. This person will be stationed at SBIL Belapur</t>
        </r>
      </text>
    </comment>
    <comment ref="B79" authorId="0" shapeId="0" xr:uid="{66D4E8C3-8FCD-4F24-B58B-0A0602B10719}">
      <text>
        <r>
          <rPr>
            <sz val="9"/>
            <color indexed="81"/>
            <rFont val="Tahoma"/>
            <family val="2"/>
          </rPr>
          <t>Two team Leads Cost per month is to be quoted here. These persons will be stationed at SBIL Belapur</t>
        </r>
      </text>
    </comment>
    <comment ref="B80" authorId="1" shapeId="0" xr:uid="{B8EB2F64-D238-4093-89C0-55307E6B7F44}">
      <text>
        <r>
          <rPr>
            <sz val="9"/>
            <color indexed="81"/>
            <rFont val="Tahoma"/>
            <family val="2"/>
          </rPr>
          <t xml:space="preserve">Two Compliance support engineer Cost per month is to be quoted here. These persons will be stationed at SBIL Belapur
</t>
        </r>
      </text>
    </comment>
    <comment ref="B81" authorId="1" shapeId="0" xr:uid="{DBCA99C2-F140-4C39-B233-BC02DFD6AA2B}">
      <text>
        <r>
          <rPr>
            <sz val="9"/>
            <color indexed="81"/>
            <rFont val="Tahoma"/>
            <family val="2"/>
          </rPr>
          <t xml:space="preserve">One L2 Compliance support engineer Cost per month is to be quoted here. These persons will be stationed at SBIL Belapur
</t>
        </r>
      </text>
    </comment>
    <comment ref="B82" authorId="1" shapeId="0" xr:uid="{84D823AE-9F11-48BC-A1ED-C1046D2764C9}">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83" authorId="0" shapeId="0" xr:uid="{7F2A99A2-CBDD-42AD-AFF1-826122DD9276}">
      <text>
        <r>
          <rPr>
            <sz val="9"/>
            <color indexed="81"/>
            <rFont val="Tahoma"/>
            <family val="2"/>
          </rPr>
          <t xml:space="preserve">Unit cost for Resident Engineer (tentatively 26 in number as of now, but may change during the tenure of the contract). Quote per engineer per month cost. </t>
        </r>
      </text>
    </comment>
    <comment ref="B84" authorId="2" shapeId="0" xr:uid="{5192ADB8-4B1B-48D5-84F9-6B907D3DB905}">
      <text>
        <r>
          <rPr>
            <sz val="9"/>
            <color indexed="81"/>
            <rFont val="Tahoma"/>
            <family val="2"/>
          </rPr>
          <t xml:space="preserve">
4 zonal corridnaror Cost per month is to be quoted here. These persons will be stationed at SBIL Belapur</t>
        </r>
      </text>
    </comment>
    <comment ref="B90" authorId="0" shapeId="0" xr:uid="{9FDC8A94-10F5-4856-A6BD-9B6537F8A2DC}">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91" authorId="0" shapeId="0" xr:uid="{30D315D3-57F0-463A-93E7-C70C515F909F}">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103" authorId="0" shapeId="0" xr:uid="{D965069A-3DD4-4327-AB30-768466A6C686}">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104" authorId="0" shapeId="0" xr:uid="{B249615C-9153-4A51-A7B7-E2831DEDD744}">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105" authorId="0" shapeId="0" xr:uid="{96B55374-0B4E-478E-8D2A-0373216B9BBF}">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06" authorId="1" shapeId="0" xr:uid="{460C7802-E71B-4FDC-BCD0-CFF594FDD185}">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10" authorId="0" shapeId="0" xr:uid="{4AF48A80-DB95-4033-848F-F61A10A538C4}">
      <text>
        <r>
          <rPr>
            <sz val="9"/>
            <color indexed="81"/>
            <rFont val="Tahoma"/>
            <family val="2"/>
          </rPr>
          <t>One Project Manager Cost per month is to be quoted here. This person will be stationed at SBIL Belapur</t>
        </r>
      </text>
    </comment>
    <comment ref="B111" authorId="0" shapeId="0" xr:uid="{DE7147BA-EC4F-4479-865A-93DA88EA7F7D}">
      <text>
        <r>
          <rPr>
            <sz val="9"/>
            <color indexed="81"/>
            <rFont val="Tahoma"/>
            <family val="2"/>
          </rPr>
          <t>Two team Leads Cost per month is to be quoted here. These persons will be stationed at SBIL Belapur</t>
        </r>
      </text>
    </comment>
    <comment ref="B112" authorId="1" shapeId="0" xr:uid="{30892544-E980-41DF-A304-7205BA678689}">
      <text>
        <r>
          <rPr>
            <sz val="9"/>
            <color indexed="81"/>
            <rFont val="Tahoma"/>
            <family val="2"/>
          </rPr>
          <t xml:space="preserve">Two Compliance support engineer Cost per month is to be quoted here. These persons will be stationed at SBIL Belapur
</t>
        </r>
      </text>
    </comment>
    <comment ref="B113" authorId="1" shapeId="0" xr:uid="{55A4E977-608E-43C0-9D6A-65CEAC12A869}">
      <text>
        <r>
          <rPr>
            <sz val="9"/>
            <color indexed="81"/>
            <rFont val="Tahoma"/>
            <family val="2"/>
          </rPr>
          <t xml:space="preserve">One L2 Compliance support engineer Cost per month is to be quoted here. These persons will be stationed at SBIL Belapur
</t>
        </r>
      </text>
    </comment>
    <comment ref="B114" authorId="1" shapeId="0" xr:uid="{B642F5D2-15ED-4486-83E2-CD99CCC99FCF}">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15" authorId="0" shapeId="0" xr:uid="{66D58095-4690-4737-994C-E0738FDCFE1F}">
      <text>
        <r>
          <rPr>
            <sz val="9"/>
            <color indexed="81"/>
            <rFont val="Tahoma"/>
            <family val="2"/>
          </rPr>
          <t xml:space="preserve">Unit cost for Resident Engineer (tentatively 26 in number as of now, but may change during the tenure of the contract). Quote per engineer per month cost. </t>
        </r>
      </text>
    </comment>
    <comment ref="B116" authorId="2" shapeId="0" xr:uid="{0C2E318F-6A18-44E9-A5FD-D95E92904969}">
      <text>
        <r>
          <rPr>
            <sz val="9"/>
            <color indexed="81"/>
            <rFont val="Tahoma"/>
            <family val="2"/>
          </rPr>
          <t xml:space="preserve">
4 zonal corridnaror Cost per month is to be quoted here. These persons will be stationed at SBIL Belapur</t>
        </r>
      </text>
    </comment>
    <comment ref="B122" authorId="0" shapeId="0" xr:uid="{2FFA394A-933A-4288-B1C2-65A75F7EC586}">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123" authorId="0" shapeId="0" xr:uid="{E2C1929D-D2B9-4F8B-A2AA-EC17C8068280}">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 ref="B135" authorId="0" shapeId="0" xr:uid="{D1DD553D-8426-43B9-BE95-B2427162BFE1}">
      <text>
        <r>
          <rPr>
            <sz val="9"/>
            <color indexed="81"/>
            <rFont val="Tahoma"/>
            <family val="2"/>
          </rPr>
          <t>The AMC, Soft Call Support and PM Cost for tentative numbers quoted here. The number can change based on retirement or damage. This is exclusively for the items on AMC and AMC+Soft Call cost per unit per month is to be quoted.</t>
        </r>
      </text>
    </comment>
    <comment ref="B136" authorId="0" shapeId="0" xr:uid="{6BB4B241-9861-4173-BAF5-2ECECB67A9CB}">
      <text>
        <r>
          <rPr>
            <sz val="9"/>
            <color indexed="81"/>
            <rFont val="Tahoma"/>
            <family val="2"/>
          </rPr>
          <t xml:space="preserve">The AMC, Soft Call Support and PM Cost for tentative numbers quoted here. The number can change based on retirement or damage. This is exclusively for the items on AMC and AMC+Soft Call cost per unit per month is to be quoted. </t>
        </r>
      </text>
    </comment>
    <comment ref="B137" authorId="0" shapeId="0" xr:uid="{84828FCC-89C5-482A-9C7D-4FCC93B5BFF7}">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text>
    </comment>
    <comment ref="B138" authorId="1" shapeId="0" xr:uid="{0BFC31C9-756E-4F12-90B0-3EC0AE6ED819}">
      <text>
        <r>
          <rPr>
            <sz val="9"/>
            <color indexed="81"/>
            <rFont val="Tahoma"/>
            <family val="2"/>
          </rPr>
          <t>The AMC and Soft Call Support for tentative numbers quoted here. The number can change based on retirement or damage. This is exclusively for the items on AMC and AMC+Soft Call cost per unit per month is to be quoted</t>
        </r>
        <r>
          <rPr>
            <sz val="9"/>
            <color indexed="81"/>
            <rFont val="Tahoma"/>
            <family val="2"/>
          </rPr>
          <t xml:space="preserve">
</t>
        </r>
      </text>
    </comment>
    <comment ref="B142" authorId="0" shapeId="0" xr:uid="{DE7F5F1D-7A63-4D25-845E-99912D5714A8}">
      <text>
        <r>
          <rPr>
            <sz val="9"/>
            <color indexed="81"/>
            <rFont val="Tahoma"/>
            <family val="2"/>
          </rPr>
          <t>One Project Manager Cost per month is to be quoted here. This person will be stationed at SBIL Belapur</t>
        </r>
      </text>
    </comment>
    <comment ref="B143" authorId="0" shapeId="0" xr:uid="{06C927CF-11C6-4208-B853-78275B16FCE6}">
      <text>
        <r>
          <rPr>
            <sz val="9"/>
            <color indexed="81"/>
            <rFont val="Tahoma"/>
            <family val="2"/>
          </rPr>
          <t>Two team Leads Cost per month is to be quoted here. These persons will be stationed at SBIL Belapur</t>
        </r>
      </text>
    </comment>
    <comment ref="B144" authorId="1" shapeId="0" xr:uid="{1A7E823E-ACD4-411F-A265-14EF5F242C1D}">
      <text>
        <r>
          <rPr>
            <sz val="9"/>
            <color indexed="81"/>
            <rFont val="Tahoma"/>
            <family val="2"/>
          </rPr>
          <t xml:space="preserve">Two Compliance support engineer Cost per month is to be quoted here. These persons will be stationed at SBIL Belapur
</t>
        </r>
      </text>
    </comment>
    <comment ref="B145" authorId="1" shapeId="0" xr:uid="{F2A88116-BDAF-4B69-905F-4990FC80380A}">
      <text>
        <r>
          <rPr>
            <sz val="9"/>
            <color indexed="81"/>
            <rFont val="Tahoma"/>
            <family val="2"/>
          </rPr>
          <t xml:space="preserve">One L2 Compliance support engineer Cost per month is to be quoted here. These persons will be stationed at SBIL Belapur
</t>
        </r>
      </text>
    </comment>
    <comment ref="B146" authorId="1" shapeId="0" xr:uid="{1B9D82D7-7C46-4B62-9A2A-C966D0E1D86A}">
      <text>
        <r>
          <rPr>
            <sz val="9"/>
            <color indexed="81"/>
            <rFont val="Tahoma"/>
            <family val="2"/>
          </rPr>
          <t>One Printer &amp; Scanner support engineer Cost per month is to be quoted here. These persons will be stationed at SBIL Belapur</t>
        </r>
        <r>
          <rPr>
            <b/>
            <sz val="9"/>
            <color indexed="81"/>
            <rFont val="Tahoma"/>
            <family val="2"/>
          </rPr>
          <t xml:space="preserve">
</t>
        </r>
        <r>
          <rPr>
            <sz val="9"/>
            <color indexed="81"/>
            <rFont val="Tahoma"/>
            <family val="2"/>
          </rPr>
          <t xml:space="preserve">
</t>
        </r>
      </text>
    </comment>
    <comment ref="B147" authorId="0" shapeId="0" xr:uid="{6F9983DE-AC75-48F5-A267-BF565C1596DD}">
      <text>
        <r>
          <rPr>
            <sz val="9"/>
            <color indexed="81"/>
            <rFont val="Tahoma"/>
            <family val="2"/>
          </rPr>
          <t xml:space="preserve">Unit cost for Resident Engineer (tentatively 26 in number as of now, but may change during the tenure of the contract). Quote per engineer per month cost. </t>
        </r>
      </text>
    </comment>
    <comment ref="B148" authorId="2" shapeId="0" xr:uid="{D9850371-E5F4-43D2-997B-4B4D5C4AA656}">
      <text>
        <r>
          <rPr>
            <sz val="9"/>
            <color indexed="81"/>
            <rFont val="Tahoma"/>
            <family val="2"/>
          </rPr>
          <t xml:space="preserve">4 zonal corridnaror Cost per month is to be quoted here. These persons will be stationed at SBIL Belapur
</t>
        </r>
      </text>
    </comment>
    <comment ref="B154" authorId="0" shapeId="0" xr:uid="{ACA904A5-BA59-4E6E-A488-471EB1E65FF2}">
      <text>
        <r>
          <rPr>
            <sz val="9"/>
            <color indexed="81"/>
            <rFont val="Tahoma"/>
            <family val="2"/>
          </rPr>
          <t xml:space="preserve">In case of addition of assets due to new procurement of PCs etc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 xml:space="preserve">
Note: This is applicable only for the assets under Warranty.</t>
        </r>
      </text>
    </comment>
    <comment ref="B155" authorId="0" shapeId="0" xr:uid="{E4603541-6ABB-4062-9118-63881BB4EA24}">
      <text>
        <r>
          <rPr>
            <sz val="9"/>
            <color indexed="81"/>
            <rFont val="Tahoma"/>
            <family val="2"/>
          </rPr>
          <t xml:space="preserve">In case of addition of assets due to new procurement of Laptops, the item will be in Warranty with the vendor and the individual line item cost here, will be applicable for such new assets. The cost to be added here will include the Soft Call, PM and vendor coordination for Warranty Support.  This will not be applicable for locations where engineer is present as the engineer will provide the requisite onsite support. 
</t>
        </r>
        <r>
          <rPr>
            <b/>
            <sz val="9"/>
            <color indexed="81"/>
            <rFont val="Tahoma"/>
            <family val="2"/>
          </rPr>
          <t>Note: This is applicable only for the assets under Warranty.</t>
        </r>
      </text>
    </comment>
  </commentList>
</comments>
</file>

<file path=xl/sharedStrings.xml><?xml version="1.0" encoding="utf-8"?>
<sst xmlns="http://schemas.openxmlformats.org/spreadsheetml/2006/main" count="331" uniqueCount="90">
  <si>
    <t>Commercial Format - 1st Year / 2025</t>
  </si>
  <si>
    <t>Q1</t>
  </si>
  <si>
    <t>Q2</t>
  </si>
  <si>
    <t>Q3</t>
  </si>
  <si>
    <t>Q4</t>
  </si>
  <si>
    <t xml:space="preserve">Sr. No. </t>
  </si>
  <si>
    <t>Item</t>
  </si>
  <si>
    <t>Cost (Per Unit Per month)</t>
  </si>
  <si>
    <t xml:space="preserve">Already
O/W * </t>
  </si>
  <si>
    <t>Moving in to AMC on 1st day of M1</t>
  </si>
  <si>
    <t>Moving in to AMC on 1st day of M2</t>
  </si>
  <si>
    <t>Moving in to AMC on 1st day of M3</t>
  </si>
  <si>
    <t>Total Cost</t>
  </si>
  <si>
    <t>Already O/W</t>
  </si>
  <si>
    <t>Moving in to AMC on 1st day of M4</t>
  </si>
  <si>
    <t>Moving in to AMC on 1st day of M5</t>
  </si>
  <si>
    <t>Moving in to AMC on 1st day of M6</t>
  </si>
  <si>
    <t>Moving in to AMC on 1st day of M7</t>
  </si>
  <si>
    <t>Moving in to AMC on 1st day of M8</t>
  </si>
  <si>
    <t>Moving in to AMC on 1st day of M9</t>
  </si>
  <si>
    <t>Moving in to AMC on 1st day of M10</t>
  </si>
  <si>
    <t>Moving in to AMC on 1st day of M11</t>
  </si>
  <si>
    <t>Moving in to AMC on 1st day of M12</t>
  </si>
  <si>
    <t>AMC Charges</t>
  </si>
  <si>
    <t>Count</t>
  </si>
  <si>
    <t>PC</t>
  </si>
  <si>
    <t>Laptop</t>
  </si>
  <si>
    <t>Printers</t>
  </si>
  <si>
    <t>Scanner</t>
  </si>
  <si>
    <t>Total AMC (A)</t>
  </si>
  <si>
    <t>Onsite Resource</t>
  </si>
  <si>
    <t>Head Count</t>
  </si>
  <si>
    <t>Project Manager</t>
  </si>
  <si>
    <t>Team Leader</t>
  </si>
  <si>
    <t>Compliance Support L1</t>
  </si>
  <si>
    <t>Compliance Support L2</t>
  </si>
  <si>
    <t>Printer &amp; Scanner Support L1</t>
  </si>
  <si>
    <t>Onsite resident engineer at branches</t>
  </si>
  <si>
    <t>Total Onsite Resource Charges (B)</t>
  </si>
  <si>
    <t>WARRANTY 1st Year / 2025</t>
  </si>
  <si>
    <t>Warranty PC</t>
  </si>
  <si>
    <t>Warranty Laptop</t>
  </si>
  <si>
    <t>Total Warranty Support Charges (C )</t>
  </si>
  <si>
    <t>Total Charges = (A) + (B) +(C )</t>
  </si>
  <si>
    <t>Commercial Format - 2nd Year / 2026</t>
  </si>
  <si>
    <t>WARRANTY 2nd Year 2026</t>
  </si>
  <si>
    <t>Commercial Format - 3rd Year / 2027</t>
  </si>
  <si>
    <t xml:space="preserve">Already O/W * </t>
  </si>
  <si>
    <t>WARRANTY 3rd Year /2028</t>
  </si>
  <si>
    <t>Commercial Format - 4rd Year / 2028</t>
  </si>
  <si>
    <t>WARRANTY 4th Year 2029</t>
  </si>
  <si>
    <t>Commercial Format - 5rd Year / 2029</t>
  </si>
  <si>
    <t>WARRANTY 5th Year/2029</t>
  </si>
  <si>
    <t>Cost in Rs. Per Quarter</t>
  </si>
  <si>
    <t xml:space="preserve">Total Cost </t>
  </si>
  <si>
    <t>Q5</t>
  </si>
  <si>
    <t>Q6</t>
  </si>
  <si>
    <t>Q7</t>
  </si>
  <si>
    <t>Q8</t>
  </si>
  <si>
    <t>Q9</t>
  </si>
  <si>
    <t>Q10</t>
  </si>
  <si>
    <t>Q11</t>
  </si>
  <si>
    <t>Q12</t>
  </si>
  <si>
    <t>Q13</t>
  </si>
  <si>
    <t>Q14</t>
  </si>
  <si>
    <t>Q15</t>
  </si>
  <si>
    <t>Q16</t>
  </si>
  <si>
    <t>Q17</t>
  </si>
  <si>
    <t>Q18</t>
  </si>
  <si>
    <t>Q19</t>
  </si>
  <si>
    <t>Q20</t>
  </si>
  <si>
    <t>Quarterwise Cost</t>
  </si>
  <si>
    <t>Yearly Cost</t>
  </si>
  <si>
    <t>Grand Total</t>
  </si>
  <si>
    <t xml:space="preserve">Following two are for discovery only. Quote Montly cost only in Rs. </t>
  </si>
  <si>
    <t>Centralized IT Service desk - 1 person</t>
  </si>
  <si>
    <t>Remote support Engineer - 1 person</t>
  </si>
  <si>
    <t>Note</t>
  </si>
  <si>
    <t xml:space="preserve">Please refer the master Inventory to populate the no of assets in section . Bidder will be binding to provide AMC Support for the said period in RFP if the assets are calculated lesser than the actual mentioned in the Inventory </t>
  </si>
  <si>
    <t>The asset count should match the master inventory file each quarter</t>
  </si>
  <si>
    <t>* The infrastructure cost is fixed per quarter throughout the tenure of the contract to meet our SOW &amp; SLA requirements</t>
  </si>
  <si>
    <t xml:space="preserve">All costs in Rs. Taxes extra as applicable. </t>
  </si>
  <si>
    <t>Terms and Condition of Commercial bid :</t>
  </si>
  <si>
    <t xml:space="preserve">1. All prices are exclusive of taxes </t>
  </si>
  <si>
    <t>2. Bidder will provide all infrastructure such as workstation. Computer, telephone, headset  etc.</t>
  </si>
  <si>
    <t>3. SBI Life will provide Service desk software and contact center software.</t>
  </si>
  <si>
    <t>4. SBI Life reserves the rights to add or remove any above line item with prior one month notice.</t>
  </si>
  <si>
    <r>
      <t>5. Payment terms as per RFP</t>
    </r>
    <r>
      <rPr>
        <sz val="9"/>
        <color theme="1"/>
        <rFont val="Calibri"/>
        <family val="2"/>
        <scheme val="minor"/>
      </rPr>
      <t xml:space="preserve">. </t>
    </r>
  </si>
  <si>
    <t>Zonal Coordinators</t>
  </si>
  <si>
    <t>Infrastructure and Dedicated RIM setup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</si>
</sst>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_);_(* \(#,##0\);_(* &quot;-&quot;??_);_(@_)"/>
    <numFmt numFmtId="165" formatCode="_(* #,##0.00_);_(* \(#,##0.00\);_(* &quot;-&quot;??_);_(@_)"/>
  </numFmts>
  <fonts count="10" x14ac:knownFonts="1">
    <font>
      <sz val="11"/>
      <color theme="1"/>
      <name val="Calibri"/>
      <family val="2"/>
      <scheme val="minor"/>
    </font>
    <font>
      <sz val="11"/>
      <color theme="1"/>
      <name val="Calibri"/>
      <family val="2"/>
      <scheme val="minor"/>
    </font>
    <font>
      <sz val="9"/>
      <color theme="1"/>
      <name val="Calibri"/>
      <family val="2"/>
      <scheme val="minor"/>
    </font>
    <font>
      <b/>
      <sz val="9"/>
      <name val="Arial"/>
      <family val="2"/>
    </font>
    <font>
      <sz val="9"/>
      <name val="Arial"/>
      <family val="2"/>
    </font>
    <font>
      <sz val="9"/>
      <color rgb="FFFF0000"/>
      <name val="Calibri"/>
      <family val="2"/>
      <scheme val="minor"/>
    </font>
    <font>
      <sz val="9"/>
      <color indexed="81"/>
      <name val="Tahoma"/>
      <family val="2"/>
    </font>
    <font>
      <b/>
      <sz val="9"/>
      <color indexed="81"/>
      <name val="Tahoma"/>
      <family val="2"/>
    </font>
    <font>
      <b/>
      <sz val="8"/>
      <name val="Arial"/>
      <family val="2"/>
    </font>
    <font>
      <b/>
      <sz val="9"/>
      <color indexed="81"/>
      <name val="Tahoma"/>
      <charset val="1"/>
    </font>
  </fonts>
  <fills count="10">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3" tint="-0.499984740745262"/>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122">
    <xf numFmtId="0" fontId="0" fillId="0" borderId="0" xfId="0"/>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applyAlignment="1">
      <alignment horizontal="center" wrapText="1"/>
    </xf>
    <xf numFmtId="0" fontId="2" fillId="0" borderId="0" xfId="0" applyFont="1" applyFill="1" applyAlignment="1">
      <alignment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17" fontId="3"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4" borderId="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43" fontId="3" fillId="0" borderId="1" xfId="1" applyFont="1" applyFill="1" applyBorder="1" applyAlignment="1">
      <alignment horizontal="center" vertical="center" wrapText="1"/>
    </xf>
    <xf numFmtId="0" fontId="2" fillId="0" borderId="1" xfId="0" applyNumberFormat="1" applyFont="1" applyBorder="1" applyAlignment="1">
      <alignment horizontal="center" vertical="center"/>
    </xf>
    <xf numFmtId="0" fontId="2" fillId="0" borderId="1" xfId="0" applyFont="1" applyFill="1" applyBorder="1" applyAlignment="1">
      <alignment horizontal="center" vertical="center" wrapText="1"/>
    </xf>
    <xf numFmtId="43" fontId="2" fillId="0" borderId="1" xfId="0" applyNumberFormat="1" applyFont="1" applyFill="1" applyBorder="1" applyAlignment="1">
      <alignment horizontal="center" vertical="center" wrapText="1"/>
    </xf>
    <xf numFmtId="0" fontId="3" fillId="5" borderId="7" xfId="0" applyFont="1" applyFill="1" applyBorder="1" applyAlignment="1">
      <alignment horizontal="center" vertical="center" wrapText="1"/>
    </xf>
    <xf numFmtId="43" fontId="2" fillId="5" borderId="1"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43" fontId="2"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2" fillId="5" borderId="1" xfId="0" applyFont="1" applyFill="1" applyBorder="1" applyAlignment="1">
      <alignment horizontal="center" vertical="center" wrapText="1"/>
    </xf>
    <xf numFmtId="165" fontId="3" fillId="5" borderId="1" xfId="0" applyNumberFormat="1" applyFont="1" applyFill="1" applyBorder="1" applyAlignment="1">
      <alignment horizontal="center" vertical="center" wrapText="1"/>
    </xf>
    <xf numFmtId="164" fontId="3" fillId="6" borderId="1" xfId="1" applyNumberFormat="1"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0" borderId="11" xfId="0" applyFont="1" applyFill="1" applyBorder="1" applyAlignment="1">
      <alignment horizontal="center" vertical="center" wrapText="1"/>
    </xf>
    <xf numFmtId="43" fontId="3" fillId="0" borderId="6" xfId="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7" borderId="12" xfId="0" applyFont="1" applyFill="1" applyBorder="1" applyAlignment="1">
      <alignment vertical="center" wrapText="1"/>
    </xf>
    <xf numFmtId="0" fontId="2" fillId="0" borderId="6"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3" fillId="8" borderId="1" xfId="0" applyFont="1" applyFill="1" applyBorder="1" applyAlignment="1">
      <alignment horizontal="center" vertical="center" wrapText="1"/>
    </xf>
    <xf numFmtId="164" fontId="4" fillId="0" borderId="0" xfId="1" applyNumberFormat="1" applyFont="1" applyFill="1" applyBorder="1" applyAlignment="1">
      <alignment horizontal="center" vertical="center" wrapText="1"/>
    </xf>
    <xf numFmtId="164" fontId="3" fillId="8" borderId="1" xfId="1" applyNumberFormat="1" applyFont="1" applyFill="1" applyBorder="1" applyAlignment="1">
      <alignment horizontal="center" vertical="center" wrapText="1"/>
    </xf>
    <xf numFmtId="0" fontId="3" fillId="8" borderId="1" xfId="0" applyFont="1" applyFill="1" applyBorder="1" applyAlignment="1">
      <alignment vertical="center" wrapText="1"/>
    </xf>
    <xf numFmtId="43" fontId="3" fillId="8" borderId="1" xfId="0" applyNumberFormat="1" applyFont="1" applyFill="1" applyBorder="1" applyAlignment="1">
      <alignment vertical="center" wrapText="1"/>
    </xf>
    <xf numFmtId="0" fontId="3" fillId="9" borderId="1" xfId="0" applyFont="1" applyFill="1" applyBorder="1" applyAlignment="1">
      <alignment horizontal="center" vertical="center" wrapText="1"/>
    </xf>
    <xf numFmtId="164" fontId="3" fillId="9" borderId="1" xfId="1" applyNumberFormat="1" applyFont="1" applyFill="1" applyBorder="1" applyAlignment="1">
      <alignment horizontal="center" vertical="center" wrapText="1"/>
    </xf>
    <xf numFmtId="164" fontId="2" fillId="0" borderId="0" xfId="0" applyNumberFormat="1" applyFont="1" applyFill="1" applyAlignment="1">
      <alignment horizontal="center" vertical="center" wrapText="1"/>
    </xf>
    <xf numFmtId="0" fontId="3" fillId="4" borderId="1" xfId="0" applyFont="1" applyFill="1" applyBorder="1" applyAlignment="1">
      <alignment vertical="center" wrapText="1"/>
    </xf>
    <xf numFmtId="0" fontId="2" fillId="0" borderId="0" xfId="0" applyFont="1" applyAlignment="1">
      <alignment horizontal="center" vertical="center" wrapText="1"/>
    </xf>
    <xf numFmtId="0" fontId="5" fillId="0" borderId="0" xfId="0" applyFont="1" applyFill="1" applyAlignment="1">
      <alignment horizontal="center" vertical="center" wrapText="1"/>
    </xf>
    <xf numFmtId="43" fontId="8" fillId="0" borderId="1" xfId="1" applyFont="1" applyFill="1" applyBorder="1" applyAlignment="1">
      <alignment horizontal="center" vertical="center" wrapText="1"/>
    </xf>
    <xf numFmtId="43" fontId="2" fillId="0" borderId="1" xfId="1" applyFont="1" applyFill="1" applyBorder="1" applyAlignment="1">
      <alignment horizontal="center" vertical="center" wrapText="1"/>
    </xf>
    <xf numFmtId="43" fontId="2" fillId="5" borderId="1" xfId="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4" xfId="0" applyFont="1" applyFill="1" applyBorder="1" applyAlignment="1">
      <alignment horizontal="center" vertical="center" wrapText="1"/>
    </xf>
    <xf numFmtId="43" fontId="8" fillId="0" borderId="8"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5" borderId="8"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3" fillId="0" borderId="9"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8" borderId="1" xfId="0" applyFont="1" applyFill="1" applyBorder="1" applyAlignment="1">
      <alignment horizontal="center" vertical="center" wrapText="1"/>
    </xf>
    <xf numFmtId="164" fontId="4" fillId="8" borderId="1" xfId="1" applyNumberFormat="1" applyFont="1" applyFill="1" applyBorder="1" applyAlignment="1">
      <alignment horizontal="center" vertical="center" wrapText="1"/>
    </xf>
    <xf numFmtId="164" fontId="3" fillId="8" borderId="1" xfId="1"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0" xfId="0" applyFont="1" applyFill="1" applyAlignment="1">
      <alignment horizontal="left" vertical="center" wrapText="1"/>
    </xf>
    <xf numFmtId="0" fontId="2" fillId="0" borderId="0" xfId="0" applyFont="1" applyFill="1" applyAlignment="1">
      <alignment horizontal="left" vertical="center" wrapText="1"/>
    </xf>
    <xf numFmtId="0" fontId="3" fillId="4" borderId="7" xfId="0" applyFont="1" applyFill="1" applyBorder="1" applyAlignment="1">
      <alignment horizontal="left" vertical="center" wrapText="1"/>
    </xf>
    <xf numFmtId="0" fontId="4" fillId="0" borderId="1" xfId="0" applyFont="1" applyBorder="1" applyAlignment="1">
      <alignment horizontal="left" vertical="center" wrapText="1"/>
    </xf>
    <xf numFmtId="164" fontId="3" fillId="8" borderId="10" xfId="1" applyNumberFormat="1" applyFont="1" applyFill="1" applyBorder="1" applyAlignment="1">
      <alignment horizontal="center" vertical="center" wrapText="1"/>
    </xf>
    <xf numFmtId="164" fontId="3" fillId="8" borderId="11" xfId="1"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4" fillId="0" borderId="8" xfId="0" applyFont="1" applyFill="1" applyBorder="1" applyAlignment="1">
      <alignment vertical="center" wrapText="1"/>
    </xf>
    <xf numFmtId="0" fontId="4" fillId="0" borderId="9" xfId="0" applyFont="1" applyFill="1" applyBorder="1" applyAlignment="1">
      <alignment vertical="center" wrapText="1"/>
    </xf>
    <xf numFmtId="0" fontId="4" fillId="0" borderId="6" xfId="0" applyFont="1" applyFill="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7DB9D-DE38-4436-82AE-DA01AFBA90C2}">
  <dimension ref="A1:Y186"/>
  <sheetViews>
    <sheetView tabSelected="1" topLeftCell="A148" zoomScaleNormal="100" workbookViewId="0">
      <selection activeCell="F164" sqref="F164"/>
    </sheetView>
  </sheetViews>
  <sheetFormatPr defaultRowHeight="12" x14ac:dyDescent="0.2"/>
  <cols>
    <col min="1" max="1" width="6.140625" style="1" customWidth="1"/>
    <col min="2" max="2" width="22.85546875" style="1" customWidth="1"/>
    <col min="3" max="3" width="15.28515625" style="1" bestFit="1" customWidth="1"/>
    <col min="4" max="4" width="14.140625" style="2" bestFit="1" customWidth="1"/>
    <col min="5" max="6" width="17.42578125" style="2" bestFit="1" customWidth="1"/>
    <col min="7" max="7" width="14.140625" style="2" bestFit="1" customWidth="1"/>
    <col min="8" max="8" width="17.85546875" style="2" bestFit="1" customWidth="1"/>
    <col min="9" max="9" width="14.140625" style="2" bestFit="1" customWidth="1"/>
    <col min="10" max="10" width="13.7109375" style="2" bestFit="1" customWidth="1"/>
    <col min="11" max="11" width="13.42578125" style="2" bestFit="1" customWidth="1"/>
    <col min="12" max="12" width="14.140625" style="2" bestFit="1" customWidth="1"/>
    <col min="13" max="13" width="22" style="2" customWidth="1"/>
    <col min="14" max="14" width="16.42578125" style="2" customWidth="1"/>
    <col min="15" max="15" width="14.140625" style="2" customWidth="1"/>
    <col min="16" max="16" width="14.7109375" style="2" customWidth="1"/>
    <col min="17" max="17" width="14.5703125" style="2" bestFit="1" customWidth="1"/>
    <col min="18" max="18" width="17.42578125" style="2" bestFit="1" customWidth="1"/>
    <col min="19" max="19" width="13.7109375" style="2" bestFit="1" customWidth="1"/>
    <col min="20" max="20" width="20" style="2" customWidth="1"/>
    <col min="21" max="21" width="16.28515625" style="2" customWidth="1"/>
    <col min="22" max="22" width="14.140625" style="2" customWidth="1"/>
    <col min="23" max="23" width="17.42578125" style="2" bestFit="1" customWidth="1"/>
    <col min="24" max="24" width="9.140625" style="1"/>
    <col min="25" max="25" width="9.140625" style="3"/>
    <col min="26" max="254" width="9.140625" style="1"/>
    <col min="255" max="255" width="4" style="1" bestFit="1" customWidth="1"/>
    <col min="256" max="256" width="21.5703125" style="1" bestFit="1" customWidth="1"/>
    <col min="257" max="258" width="11.85546875" style="1" bestFit="1" customWidth="1"/>
    <col min="259" max="260" width="14.5703125" style="1" bestFit="1" customWidth="1"/>
    <col min="261" max="261" width="11.85546875" style="1" bestFit="1" customWidth="1"/>
    <col min="262" max="262" width="14.5703125" style="1" bestFit="1" customWidth="1"/>
    <col min="263" max="266" width="11.85546875" style="1" bestFit="1" customWidth="1"/>
    <col min="267" max="267" width="14.5703125" style="1" bestFit="1" customWidth="1"/>
    <col min="268" max="268" width="11.85546875" style="1" bestFit="1" customWidth="1"/>
    <col min="269" max="271" width="8" style="1" bestFit="1" customWidth="1"/>
    <col min="272" max="272" width="14.5703125" style="1" bestFit="1" customWidth="1"/>
    <col min="273" max="276" width="8" style="1" bestFit="1" customWidth="1"/>
    <col min="277" max="277" width="14.5703125" style="1" bestFit="1" customWidth="1"/>
    <col min="278" max="510" width="9.140625" style="1"/>
    <col min="511" max="511" width="4" style="1" bestFit="1" customWidth="1"/>
    <col min="512" max="512" width="21.5703125" style="1" bestFit="1" customWidth="1"/>
    <col min="513" max="514" width="11.85546875" style="1" bestFit="1" customWidth="1"/>
    <col min="515" max="516" width="14.5703125" style="1" bestFit="1" customWidth="1"/>
    <col min="517" max="517" width="11.85546875" style="1" bestFit="1" customWidth="1"/>
    <col min="518" max="518" width="14.5703125" style="1" bestFit="1" customWidth="1"/>
    <col min="519" max="522" width="11.85546875" style="1" bestFit="1" customWidth="1"/>
    <col min="523" max="523" width="14.5703125" style="1" bestFit="1" customWidth="1"/>
    <col min="524" max="524" width="11.85546875" style="1" bestFit="1" customWidth="1"/>
    <col min="525" max="527" width="8" style="1" bestFit="1" customWidth="1"/>
    <col min="528" max="528" width="14.5703125" style="1" bestFit="1" customWidth="1"/>
    <col min="529" max="532" width="8" style="1" bestFit="1" customWidth="1"/>
    <col min="533" max="533" width="14.5703125" style="1" bestFit="1" customWidth="1"/>
    <col min="534" max="766" width="9.140625" style="1"/>
    <col min="767" max="767" width="4" style="1" bestFit="1" customWidth="1"/>
    <col min="768" max="768" width="21.5703125" style="1" bestFit="1" customWidth="1"/>
    <col min="769" max="770" width="11.85546875" style="1" bestFit="1" customWidth="1"/>
    <col min="771" max="772" width="14.5703125" style="1" bestFit="1" customWidth="1"/>
    <col min="773" max="773" width="11.85546875" style="1" bestFit="1" customWidth="1"/>
    <col min="774" max="774" width="14.5703125" style="1" bestFit="1" customWidth="1"/>
    <col min="775" max="778" width="11.85546875" style="1" bestFit="1" customWidth="1"/>
    <col min="779" max="779" width="14.5703125" style="1" bestFit="1" customWidth="1"/>
    <col min="780" max="780" width="11.85546875" style="1" bestFit="1" customWidth="1"/>
    <col min="781" max="783" width="8" style="1" bestFit="1" customWidth="1"/>
    <col min="784" max="784" width="14.5703125" style="1" bestFit="1" customWidth="1"/>
    <col min="785" max="788" width="8" style="1" bestFit="1" customWidth="1"/>
    <col min="789" max="789" width="14.5703125" style="1" bestFit="1" customWidth="1"/>
    <col min="790" max="1022" width="9.140625" style="1"/>
    <col min="1023" max="1023" width="4" style="1" bestFit="1" customWidth="1"/>
    <col min="1024" max="1024" width="21.5703125" style="1" bestFit="1" customWidth="1"/>
    <col min="1025" max="1026" width="11.85546875" style="1" bestFit="1" customWidth="1"/>
    <col min="1027" max="1028" width="14.5703125" style="1" bestFit="1" customWidth="1"/>
    <col min="1029" max="1029" width="11.85546875" style="1" bestFit="1" customWidth="1"/>
    <col min="1030" max="1030" width="14.5703125" style="1" bestFit="1" customWidth="1"/>
    <col min="1031" max="1034" width="11.85546875" style="1" bestFit="1" customWidth="1"/>
    <col min="1035" max="1035" width="14.5703125" style="1" bestFit="1" customWidth="1"/>
    <col min="1036" max="1036" width="11.85546875" style="1" bestFit="1" customWidth="1"/>
    <col min="1037" max="1039" width="8" style="1" bestFit="1" customWidth="1"/>
    <col min="1040" max="1040" width="14.5703125" style="1" bestFit="1" customWidth="1"/>
    <col min="1041" max="1044" width="8" style="1" bestFit="1" customWidth="1"/>
    <col min="1045" max="1045" width="14.5703125" style="1" bestFit="1" customWidth="1"/>
    <col min="1046" max="1278" width="9.140625" style="1"/>
    <col min="1279" max="1279" width="4" style="1" bestFit="1" customWidth="1"/>
    <col min="1280" max="1280" width="21.5703125" style="1" bestFit="1" customWidth="1"/>
    <col min="1281" max="1282" width="11.85546875" style="1" bestFit="1" customWidth="1"/>
    <col min="1283" max="1284" width="14.5703125" style="1" bestFit="1" customWidth="1"/>
    <col min="1285" max="1285" width="11.85546875" style="1" bestFit="1" customWidth="1"/>
    <col min="1286" max="1286" width="14.5703125" style="1" bestFit="1" customWidth="1"/>
    <col min="1287" max="1290" width="11.85546875" style="1" bestFit="1" customWidth="1"/>
    <col min="1291" max="1291" width="14.5703125" style="1" bestFit="1" customWidth="1"/>
    <col min="1292" max="1292" width="11.85546875" style="1" bestFit="1" customWidth="1"/>
    <col min="1293" max="1295" width="8" style="1" bestFit="1" customWidth="1"/>
    <col min="1296" max="1296" width="14.5703125" style="1" bestFit="1" customWidth="1"/>
    <col min="1297" max="1300" width="8" style="1" bestFit="1" customWidth="1"/>
    <col min="1301" max="1301" width="14.5703125" style="1" bestFit="1" customWidth="1"/>
    <col min="1302" max="1534" width="9.140625" style="1"/>
    <col min="1535" max="1535" width="4" style="1" bestFit="1" customWidth="1"/>
    <col min="1536" max="1536" width="21.5703125" style="1" bestFit="1" customWidth="1"/>
    <col min="1537" max="1538" width="11.85546875" style="1" bestFit="1" customWidth="1"/>
    <col min="1539" max="1540" width="14.5703125" style="1" bestFit="1" customWidth="1"/>
    <col min="1541" max="1541" width="11.85546875" style="1" bestFit="1" customWidth="1"/>
    <col min="1542" max="1542" width="14.5703125" style="1" bestFit="1" customWidth="1"/>
    <col min="1543" max="1546" width="11.85546875" style="1" bestFit="1" customWidth="1"/>
    <col min="1547" max="1547" width="14.5703125" style="1" bestFit="1" customWidth="1"/>
    <col min="1548" max="1548" width="11.85546875" style="1" bestFit="1" customWidth="1"/>
    <col min="1549" max="1551" width="8" style="1" bestFit="1" customWidth="1"/>
    <col min="1552" max="1552" width="14.5703125" style="1" bestFit="1" customWidth="1"/>
    <col min="1553" max="1556" width="8" style="1" bestFit="1" customWidth="1"/>
    <col min="1557" max="1557" width="14.5703125" style="1" bestFit="1" customWidth="1"/>
    <col min="1558" max="1790" width="9.140625" style="1"/>
    <col min="1791" max="1791" width="4" style="1" bestFit="1" customWidth="1"/>
    <col min="1792" max="1792" width="21.5703125" style="1" bestFit="1" customWidth="1"/>
    <col min="1793" max="1794" width="11.85546875" style="1" bestFit="1" customWidth="1"/>
    <col min="1795" max="1796" width="14.5703125" style="1" bestFit="1" customWidth="1"/>
    <col min="1797" max="1797" width="11.85546875" style="1" bestFit="1" customWidth="1"/>
    <col min="1798" max="1798" width="14.5703125" style="1" bestFit="1" customWidth="1"/>
    <col min="1799" max="1802" width="11.85546875" style="1" bestFit="1" customWidth="1"/>
    <col min="1803" max="1803" width="14.5703125" style="1" bestFit="1" customWidth="1"/>
    <col min="1804" max="1804" width="11.85546875" style="1" bestFit="1" customWidth="1"/>
    <col min="1805" max="1807" width="8" style="1" bestFit="1" customWidth="1"/>
    <col min="1808" max="1808" width="14.5703125" style="1" bestFit="1" customWidth="1"/>
    <col min="1809" max="1812" width="8" style="1" bestFit="1" customWidth="1"/>
    <col min="1813" max="1813" width="14.5703125" style="1" bestFit="1" customWidth="1"/>
    <col min="1814" max="2046" width="9.140625" style="1"/>
    <col min="2047" max="2047" width="4" style="1" bestFit="1" customWidth="1"/>
    <col min="2048" max="2048" width="21.5703125" style="1" bestFit="1" customWidth="1"/>
    <col min="2049" max="2050" width="11.85546875" style="1" bestFit="1" customWidth="1"/>
    <col min="2051" max="2052" width="14.5703125" style="1" bestFit="1" customWidth="1"/>
    <col min="2053" max="2053" width="11.85546875" style="1" bestFit="1" customWidth="1"/>
    <col min="2054" max="2054" width="14.5703125" style="1" bestFit="1" customWidth="1"/>
    <col min="2055" max="2058" width="11.85546875" style="1" bestFit="1" customWidth="1"/>
    <col min="2059" max="2059" width="14.5703125" style="1" bestFit="1" customWidth="1"/>
    <col min="2060" max="2060" width="11.85546875" style="1" bestFit="1" customWidth="1"/>
    <col min="2061" max="2063" width="8" style="1" bestFit="1" customWidth="1"/>
    <col min="2064" max="2064" width="14.5703125" style="1" bestFit="1" customWidth="1"/>
    <col min="2065" max="2068" width="8" style="1" bestFit="1" customWidth="1"/>
    <col min="2069" max="2069" width="14.5703125" style="1" bestFit="1" customWidth="1"/>
    <col min="2070" max="2302" width="9.140625" style="1"/>
    <col min="2303" max="2303" width="4" style="1" bestFit="1" customWidth="1"/>
    <col min="2304" max="2304" width="21.5703125" style="1" bestFit="1" customWidth="1"/>
    <col min="2305" max="2306" width="11.85546875" style="1" bestFit="1" customWidth="1"/>
    <col min="2307" max="2308" width="14.5703125" style="1" bestFit="1" customWidth="1"/>
    <col min="2309" max="2309" width="11.85546875" style="1" bestFit="1" customWidth="1"/>
    <col min="2310" max="2310" width="14.5703125" style="1" bestFit="1" customWidth="1"/>
    <col min="2311" max="2314" width="11.85546875" style="1" bestFit="1" customWidth="1"/>
    <col min="2315" max="2315" width="14.5703125" style="1" bestFit="1" customWidth="1"/>
    <col min="2316" max="2316" width="11.85546875" style="1" bestFit="1" customWidth="1"/>
    <col min="2317" max="2319" width="8" style="1" bestFit="1" customWidth="1"/>
    <col min="2320" max="2320" width="14.5703125" style="1" bestFit="1" customWidth="1"/>
    <col min="2321" max="2324" width="8" style="1" bestFit="1" customWidth="1"/>
    <col min="2325" max="2325" width="14.5703125" style="1" bestFit="1" customWidth="1"/>
    <col min="2326" max="2558" width="9.140625" style="1"/>
    <col min="2559" max="2559" width="4" style="1" bestFit="1" customWidth="1"/>
    <col min="2560" max="2560" width="21.5703125" style="1" bestFit="1" customWidth="1"/>
    <col min="2561" max="2562" width="11.85546875" style="1" bestFit="1" customWidth="1"/>
    <col min="2563" max="2564" width="14.5703125" style="1" bestFit="1" customWidth="1"/>
    <col min="2565" max="2565" width="11.85546875" style="1" bestFit="1" customWidth="1"/>
    <col min="2566" max="2566" width="14.5703125" style="1" bestFit="1" customWidth="1"/>
    <col min="2567" max="2570" width="11.85546875" style="1" bestFit="1" customWidth="1"/>
    <col min="2571" max="2571" width="14.5703125" style="1" bestFit="1" customWidth="1"/>
    <col min="2572" max="2572" width="11.85546875" style="1" bestFit="1" customWidth="1"/>
    <col min="2573" max="2575" width="8" style="1" bestFit="1" customWidth="1"/>
    <col min="2576" max="2576" width="14.5703125" style="1" bestFit="1" customWidth="1"/>
    <col min="2577" max="2580" width="8" style="1" bestFit="1" customWidth="1"/>
    <col min="2581" max="2581" width="14.5703125" style="1" bestFit="1" customWidth="1"/>
    <col min="2582" max="2814" width="9.140625" style="1"/>
    <col min="2815" max="2815" width="4" style="1" bestFit="1" customWidth="1"/>
    <col min="2816" max="2816" width="21.5703125" style="1" bestFit="1" customWidth="1"/>
    <col min="2817" max="2818" width="11.85546875" style="1" bestFit="1" customWidth="1"/>
    <col min="2819" max="2820" width="14.5703125" style="1" bestFit="1" customWidth="1"/>
    <col min="2821" max="2821" width="11.85546875" style="1" bestFit="1" customWidth="1"/>
    <col min="2822" max="2822" width="14.5703125" style="1" bestFit="1" customWidth="1"/>
    <col min="2823" max="2826" width="11.85546875" style="1" bestFit="1" customWidth="1"/>
    <col min="2827" max="2827" width="14.5703125" style="1" bestFit="1" customWidth="1"/>
    <col min="2828" max="2828" width="11.85546875" style="1" bestFit="1" customWidth="1"/>
    <col min="2829" max="2831" width="8" style="1" bestFit="1" customWidth="1"/>
    <col min="2832" max="2832" width="14.5703125" style="1" bestFit="1" customWidth="1"/>
    <col min="2833" max="2836" width="8" style="1" bestFit="1" customWidth="1"/>
    <col min="2837" max="2837" width="14.5703125" style="1" bestFit="1" customWidth="1"/>
    <col min="2838" max="3070" width="9.140625" style="1"/>
    <col min="3071" max="3071" width="4" style="1" bestFit="1" customWidth="1"/>
    <col min="3072" max="3072" width="21.5703125" style="1" bestFit="1" customWidth="1"/>
    <col min="3073" max="3074" width="11.85546875" style="1" bestFit="1" customWidth="1"/>
    <col min="3075" max="3076" width="14.5703125" style="1" bestFit="1" customWidth="1"/>
    <col min="3077" max="3077" width="11.85546875" style="1" bestFit="1" customWidth="1"/>
    <col min="3078" max="3078" width="14.5703125" style="1" bestFit="1" customWidth="1"/>
    <col min="3079" max="3082" width="11.85546875" style="1" bestFit="1" customWidth="1"/>
    <col min="3083" max="3083" width="14.5703125" style="1" bestFit="1" customWidth="1"/>
    <col min="3084" max="3084" width="11.85546875" style="1" bestFit="1" customWidth="1"/>
    <col min="3085" max="3087" width="8" style="1" bestFit="1" customWidth="1"/>
    <col min="3088" max="3088" width="14.5703125" style="1" bestFit="1" customWidth="1"/>
    <col min="3089" max="3092" width="8" style="1" bestFit="1" customWidth="1"/>
    <col min="3093" max="3093" width="14.5703125" style="1" bestFit="1" customWidth="1"/>
    <col min="3094" max="3326" width="9.140625" style="1"/>
    <col min="3327" max="3327" width="4" style="1" bestFit="1" customWidth="1"/>
    <col min="3328" max="3328" width="21.5703125" style="1" bestFit="1" customWidth="1"/>
    <col min="3329" max="3330" width="11.85546875" style="1" bestFit="1" customWidth="1"/>
    <col min="3331" max="3332" width="14.5703125" style="1" bestFit="1" customWidth="1"/>
    <col min="3333" max="3333" width="11.85546875" style="1" bestFit="1" customWidth="1"/>
    <col min="3334" max="3334" width="14.5703125" style="1" bestFit="1" customWidth="1"/>
    <col min="3335" max="3338" width="11.85546875" style="1" bestFit="1" customWidth="1"/>
    <col min="3339" max="3339" width="14.5703125" style="1" bestFit="1" customWidth="1"/>
    <col min="3340" max="3340" width="11.85546875" style="1" bestFit="1" customWidth="1"/>
    <col min="3341" max="3343" width="8" style="1" bestFit="1" customWidth="1"/>
    <col min="3344" max="3344" width="14.5703125" style="1" bestFit="1" customWidth="1"/>
    <col min="3345" max="3348" width="8" style="1" bestFit="1" customWidth="1"/>
    <col min="3349" max="3349" width="14.5703125" style="1" bestFit="1" customWidth="1"/>
    <col min="3350" max="3582" width="9.140625" style="1"/>
    <col min="3583" max="3583" width="4" style="1" bestFit="1" customWidth="1"/>
    <col min="3584" max="3584" width="21.5703125" style="1" bestFit="1" customWidth="1"/>
    <col min="3585" max="3586" width="11.85546875" style="1" bestFit="1" customWidth="1"/>
    <col min="3587" max="3588" width="14.5703125" style="1" bestFit="1" customWidth="1"/>
    <col min="3589" max="3589" width="11.85546875" style="1" bestFit="1" customWidth="1"/>
    <col min="3590" max="3590" width="14.5703125" style="1" bestFit="1" customWidth="1"/>
    <col min="3591" max="3594" width="11.85546875" style="1" bestFit="1" customWidth="1"/>
    <col min="3595" max="3595" width="14.5703125" style="1" bestFit="1" customWidth="1"/>
    <col min="3596" max="3596" width="11.85546875" style="1" bestFit="1" customWidth="1"/>
    <col min="3597" max="3599" width="8" style="1" bestFit="1" customWidth="1"/>
    <col min="3600" max="3600" width="14.5703125" style="1" bestFit="1" customWidth="1"/>
    <col min="3601" max="3604" width="8" style="1" bestFit="1" customWidth="1"/>
    <col min="3605" max="3605" width="14.5703125" style="1" bestFit="1" customWidth="1"/>
    <col min="3606" max="3838" width="9.140625" style="1"/>
    <col min="3839" max="3839" width="4" style="1" bestFit="1" customWidth="1"/>
    <col min="3840" max="3840" width="21.5703125" style="1" bestFit="1" customWidth="1"/>
    <col min="3841" max="3842" width="11.85546875" style="1" bestFit="1" customWidth="1"/>
    <col min="3843" max="3844" width="14.5703125" style="1" bestFit="1" customWidth="1"/>
    <col min="3845" max="3845" width="11.85546875" style="1" bestFit="1" customWidth="1"/>
    <col min="3846" max="3846" width="14.5703125" style="1" bestFit="1" customWidth="1"/>
    <col min="3847" max="3850" width="11.85546875" style="1" bestFit="1" customWidth="1"/>
    <col min="3851" max="3851" width="14.5703125" style="1" bestFit="1" customWidth="1"/>
    <col min="3852" max="3852" width="11.85546875" style="1" bestFit="1" customWidth="1"/>
    <col min="3853" max="3855" width="8" style="1" bestFit="1" customWidth="1"/>
    <col min="3856" max="3856" width="14.5703125" style="1" bestFit="1" customWidth="1"/>
    <col min="3857" max="3860" width="8" style="1" bestFit="1" customWidth="1"/>
    <col min="3861" max="3861" width="14.5703125" style="1" bestFit="1" customWidth="1"/>
    <col min="3862" max="4094" width="9.140625" style="1"/>
    <col min="4095" max="4095" width="4" style="1" bestFit="1" customWidth="1"/>
    <col min="4096" max="4096" width="21.5703125" style="1" bestFit="1" customWidth="1"/>
    <col min="4097" max="4098" width="11.85546875" style="1" bestFit="1" customWidth="1"/>
    <col min="4099" max="4100" width="14.5703125" style="1" bestFit="1" customWidth="1"/>
    <col min="4101" max="4101" width="11.85546875" style="1" bestFit="1" customWidth="1"/>
    <col min="4102" max="4102" width="14.5703125" style="1" bestFit="1" customWidth="1"/>
    <col min="4103" max="4106" width="11.85546875" style="1" bestFit="1" customWidth="1"/>
    <col min="4107" max="4107" width="14.5703125" style="1" bestFit="1" customWidth="1"/>
    <col min="4108" max="4108" width="11.85546875" style="1" bestFit="1" customWidth="1"/>
    <col min="4109" max="4111" width="8" style="1" bestFit="1" customWidth="1"/>
    <col min="4112" max="4112" width="14.5703125" style="1" bestFit="1" customWidth="1"/>
    <col min="4113" max="4116" width="8" style="1" bestFit="1" customWidth="1"/>
    <col min="4117" max="4117" width="14.5703125" style="1" bestFit="1" customWidth="1"/>
    <col min="4118" max="4350" width="9.140625" style="1"/>
    <col min="4351" max="4351" width="4" style="1" bestFit="1" customWidth="1"/>
    <col min="4352" max="4352" width="21.5703125" style="1" bestFit="1" customWidth="1"/>
    <col min="4353" max="4354" width="11.85546875" style="1" bestFit="1" customWidth="1"/>
    <col min="4355" max="4356" width="14.5703125" style="1" bestFit="1" customWidth="1"/>
    <col min="4357" max="4357" width="11.85546875" style="1" bestFit="1" customWidth="1"/>
    <col min="4358" max="4358" width="14.5703125" style="1" bestFit="1" customWidth="1"/>
    <col min="4359" max="4362" width="11.85546875" style="1" bestFit="1" customWidth="1"/>
    <col min="4363" max="4363" width="14.5703125" style="1" bestFit="1" customWidth="1"/>
    <col min="4364" max="4364" width="11.85546875" style="1" bestFit="1" customWidth="1"/>
    <col min="4365" max="4367" width="8" style="1" bestFit="1" customWidth="1"/>
    <col min="4368" max="4368" width="14.5703125" style="1" bestFit="1" customWidth="1"/>
    <col min="4369" max="4372" width="8" style="1" bestFit="1" customWidth="1"/>
    <col min="4373" max="4373" width="14.5703125" style="1" bestFit="1" customWidth="1"/>
    <col min="4374" max="4606" width="9.140625" style="1"/>
    <col min="4607" max="4607" width="4" style="1" bestFit="1" customWidth="1"/>
    <col min="4608" max="4608" width="21.5703125" style="1" bestFit="1" customWidth="1"/>
    <col min="4609" max="4610" width="11.85546875" style="1" bestFit="1" customWidth="1"/>
    <col min="4611" max="4612" width="14.5703125" style="1" bestFit="1" customWidth="1"/>
    <col min="4613" max="4613" width="11.85546875" style="1" bestFit="1" customWidth="1"/>
    <col min="4614" max="4614" width="14.5703125" style="1" bestFit="1" customWidth="1"/>
    <col min="4615" max="4618" width="11.85546875" style="1" bestFit="1" customWidth="1"/>
    <col min="4619" max="4619" width="14.5703125" style="1" bestFit="1" customWidth="1"/>
    <col min="4620" max="4620" width="11.85546875" style="1" bestFit="1" customWidth="1"/>
    <col min="4621" max="4623" width="8" style="1" bestFit="1" customWidth="1"/>
    <col min="4624" max="4624" width="14.5703125" style="1" bestFit="1" customWidth="1"/>
    <col min="4625" max="4628" width="8" style="1" bestFit="1" customWidth="1"/>
    <col min="4629" max="4629" width="14.5703125" style="1" bestFit="1" customWidth="1"/>
    <col min="4630" max="4862" width="9.140625" style="1"/>
    <col min="4863" max="4863" width="4" style="1" bestFit="1" customWidth="1"/>
    <col min="4864" max="4864" width="21.5703125" style="1" bestFit="1" customWidth="1"/>
    <col min="4865" max="4866" width="11.85546875" style="1" bestFit="1" customWidth="1"/>
    <col min="4867" max="4868" width="14.5703125" style="1" bestFit="1" customWidth="1"/>
    <col min="4869" max="4869" width="11.85546875" style="1" bestFit="1" customWidth="1"/>
    <col min="4870" max="4870" width="14.5703125" style="1" bestFit="1" customWidth="1"/>
    <col min="4871" max="4874" width="11.85546875" style="1" bestFit="1" customWidth="1"/>
    <col min="4875" max="4875" width="14.5703125" style="1" bestFit="1" customWidth="1"/>
    <col min="4876" max="4876" width="11.85546875" style="1" bestFit="1" customWidth="1"/>
    <col min="4877" max="4879" width="8" style="1" bestFit="1" customWidth="1"/>
    <col min="4880" max="4880" width="14.5703125" style="1" bestFit="1" customWidth="1"/>
    <col min="4881" max="4884" width="8" style="1" bestFit="1" customWidth="1"/>
    <col min="4885" max="4885" width="14.5703125" style="1" bestFit="1" customWidth="1"/>
    <col min="4886" max="5118" width="9.140625" style="1"/>
    <col min="5119" max="5119" width="4" style="1" bestFit="1" customWidth="1"/>
    <col min="5120" max="5120" width="21.5703125" style="1" bestFit="1" customWidth="1"/>
    <col min="5121" max="5122" width="11.85546875" style="1" bestFit="1" customWidth="1"/>
    <col min="5123" max="5124" width="14.5703125" style="1" bestFit="1" customWidth="1"/>
    <col min="5125" max="5125" width="11.85546875" style="1" bestFit="1" customWidth="1"/>
    <col min="5126" max="5126" width="14.5703125" style="1" bestFit="1" customWidth="1"/>
    <col min="5127" max="5130" width="11.85546875" style="1" bestFit="1" customWidth="1"/>
    <col min="5131" max="5131" width="14.5703125" style="1" bestFit="1" customWidth="1"/>
    <col min="5132" max="5132" width="11.85546875" style="1" bestFit="1" customWidth="1"/>
    <col min="5133" max="5135" width="8" style="1" bestFit="1" customWidth="1"/>
    <col min="5136" max="5136" width="14.5703125" style="1" bestFit="1" customWidth="1"/>
    <col min="5137" max="5140" width="8" style="1" bestFit="1" customWidth="1"/>
    <col min="5141" max="5141" width="14.5703125" style="1" bestFit="1" customWidth="1"/>
    <col min="5142" max="5374" width="9.140625" style="1"/>
    <col min="5375" max="5375" width="4" style="1" bestFit="1" customWidth="1"/>
    <col min="5376" max="5376" width="21.5703125" style="1" bestFit="1" customWidth="1"/>
    <col min="5377" max="5378" width="11.85546875" style="1" bestFit="1" customWidth="1"/>
    <col min="5379" max="5380" width="14.5703125" style="1" bestFit="1" customWidth="1"/>
    <col min="5381" max="5381" width="11.85546875" style="1" bestFit="1" customWidth="1"/>
    <col min="5382" max="5382" width="14.5703125" style="1" bestFit="1" customWidth="1"/>
    <col min="5383" max="5386" width="11.85546875" style="1" bestFit="1" customWidth="1"/>
    <col min="5387" max="5387" width="14.5703125" style="1" bestFit="1" customWidth="1"/>
    <col min="5388" max="5388" width="11.85546875" style="1" bestFit="1" customWidth="1"/>
    <col min="5389" max="5391" width="8" style="1" bestFit="1" customWidth="1"/>
    <col min="5392" max="5392" width="14.5703125" style="1" bestFit="1" customWidth="1"/>
    <col min="5393" max="5396" width="8" style="1" bestFit="1" customWidth="1"/>
    <col min="5397" max="5397" width="14.5703125" style="1" bestFit="1" customWidth="1"/>
    <col min="5398" max="5630" width="9.140625" style="1"/>
    <col min="5631" max="5631" width="4" style="1" bestFit="1" customWidth="1"/>
    <col min="5632" max="5632" width="21.5703125" style="1" bestFit="1" customWidth="1"/>
    <col min="5633" max="5634" width="11.85546875" style="1" bestFit="1" customWidth="1"/>
    <col min="5635" max="5636" width="14.5703125" style="1" bestFit="1" customWidth="1"/>
    <col min="5637" max="5637" width="11.85546875" style="1" bestFit="1" customWidth="1"/>
    <col min="5638" max="5638" width="14.5703125" style="1" bestFit="1" customWidth="1"/>
    <col min="5639" max="5642" width="11.85546875" style="1" bestFit="1" customWidth="1"/>
    <col min="5643" max="5643" width="14.5703125" style="1" bestFit="1" customWidth="1"/>
    <col min="5644" max="5644" width="11.85546875" style="1" bestFit="1" customWidth="1"/>
    <col min="5645" max="5647" width="8" style="1" bestFit="1" customWidth="1"/>
    <col min="5648" max="5648" width="14.5703125" style="1" bestFit="1" customWidth="1"/>
    <col min="5649" max="5652" width="8" style="1" bestFit="1" customWidth="1"/>
    <col min="5653" max="5653" width="14.5703125" style="1" bestFit="1" customWidth="1"/>
    <col min="5654" max="5886" width="9.140625" style="1"/>
    <col min="5887" max="5887" width="4" style="1" bestFit="1" customWidth="1"/>
    <col min="5888" max="5888" width="21.5703125" style="1" bestFit="1" customWidth="1"/>
    <col min="5889" max="5890" width="11.85546875" style="1" bestFit="1" customWidth="1"/>
    <col min="5891" max="5892" width="14.5703125" style="1" bestFit="1" customWidth="1"/>
    <col min="5893" max="5893" width="11.85546875" style="1" bestFit="1" customWidth="1"/>
    <col min="5894" max="5894" width="14.5703125" style="1" bestFit="1" customWidth="1"/>
    <col min="5895" max="5898" width="11.85546875" style="1" bestFit="1" customWidth="1"/>
    <col min="5899" max="5899" width="14.5703125" style="1" bestFit="1" customWidth="1"/>
    <col min="5900" max="5900" width="11.85546875" style="1" bestFit="1" customWidth="1"/>
    <col min="5901" max="5903" width="8" style="1" bestFit="1" customWidth="1"/>
    <col min="5904" max="5904" width="14.5703125" style="1" bestFit="1" customWidth="1"/>
    <col min="5905" max="5908" width="8" style="1" bestFit="1" customWidth="1"/>
    <col min="5909" max="5909" width="14.5703125" style="1" bestFit="1" customWidth="1"/>
    <col min="5910" max="6142" width="9.140625" style="1"/>
    <col min="6143" max="6143" width="4" style="1" bestFit="1" customWidth="1"/>
    <col min="6144" max="6144" width="21.5703125" style="1" bestFit="1" customWidth="1"/>
    <col min="6145" max="6146" width="11.85546875" style="1" bestFit="1" customWidth="1"/>
    <col min="6147" max="6148" width="14.5703125" style="1" bestFit="1" customWidth="1"/>
    <col min="6149" max="6149" width="11.85546875" style="1" bestFit="1" customWidth="1"/>
    <col min="6150" max="6150" width="14.5703125" style="1" bestFit="1" customWidth="1"/>
    <col min="6151" max="6154" width="11.85546875" style="1" bestFit="1" customWidth="1"/>
    <col min="6155" max="6155" width="14.5703125" style="1" bestFit="1" customWidth="1"/>
    <col min="6156" max="6156" width="11.85546875" style="1" bestFit="1" customWidth="1"/>
    <col min="6157" max="6159" width="8" style="1" bestFit="1" customWidth="1"/>
    <col min="6160" max="6160" width="14.5703125" style="1" bestFit="1" customWidth="1"/>
    <col min="6161" max="6164" width="8" style="1" bestFit="1" customWidth="1"/>
    <col min="6165" max="6165" width="14.5703125" style="1" bestFit="1" customWidth="1"/>
    <col min="6166" max="6398" width="9.140625" style="1"/>
    <col min="6399" max="6399" width="4" style="1" bestFit="1" customWidth="1"/>
    <col min="6400" max="6400" width="21.5703125" style="1" bestFit="1" customWidth="1"/>
    <col min="6401" max="6402" width="11.85546875" style="1" bestFit="1" customWidth="1"/>
    <col min="6403" max="6404" width="14.5703125" style="1" bestFit="1" customWidth="1"/>
    <col min="6405" max="6405" width="11.85546875" style="1" bestFit="1" customWidth="1"/>
    <col min="6406" max="6406" width="14.5703125" style="1" bestFit="1" customWidth="1"/>
    <col min="6407" max="6410" width="11.85546875" style="1" bestFit="1" customWidth="1"/>
    <col min="6411" max="6411" width="14.5703125" style="1" bestFit="1" customWidth="1"/>
    <col min="6412" max="6412" width="11.85546875" style="1" bestFit="1" customWidth="1"/>
    <col min="6413" max="6415" width="8" style="1" bestFit="1" customWidth="1"/>
    <col min="6416" max="6416" width="14.5703125" style="1" bestFit="1" customWidth="1"/>
    <col min="6417" max="6420" width="8" style="1" bestFit="1" customWidth="1"/>
    <col min="6421" max="6421" width="14.5703125" style="1" bestFit="1" customWidth="1"/>
    <col min="6422" max="6654" width="9.140625" style="1"/>
    <col min="6655" max="6655" width="4" style="1" bestFit="1" customWidth="1"/>
    <col min="6656" max="6656" width="21.5703125" style="1" bestFit="1" customWidth="1"/>
    <col min="6657" max="6658" width="11.85546875" style="1" bestFit="1" customWidth="1"/>
    <col min="6659" max="6660" width="14.5703125" style="1" bestFit="1" customWidth="1"/>
    <col min="6661" max="6661" width="11.85546875" style="1" bestFit="1" customWidth="1"/>
    <col min="6662" max="6662" width="14.5703125" style="1" bestFit="1" customWidth="1"/>
    <col min="6663" max="6666" width="11.85546875" style="1" bestFit="1" customWidth="1"/>
    <col min="6667" max="6667" width="14.5703125" style="1" bestFit="1" customWidth="1"/>
    <col min="6668" max="6668" width="11.85546875" style="1" bestFit="1" customWidth="1"/>
    <col min="6669" max="6671" width="8" style="1" bestFit="1" customWidth="1"/>
    <col min="6672" max="6672" width="14.5703125" style="1" bestFit="1" customWidth="1"/>
    <col min="6673" max="6676" width="8" style="1" bestFit="1" customWidth="1"/>
    <col min="6677" max="6677" width="14.5703125" style="1" bestFit="1" customWidth="1"/>
    <col min="6678" max="6910" width="9.140625" style="1"/>
    <col min="6911" max="6911" width="4" style="1" bestFit="1" customWidth="1"/>
    <col min="6912" max="6912" width="21.5703125" style="1" bestFit="1" customWidth="1"/>
    <col min="6913" max="6914" width="11.85546875" style="1" bestFit="1" customWidth="1"/>
    <col min="6915" max="6916" width="14.5703125" style="1" bestFit="1" customWidth="1"/>
    <col min="6917" max="6917" width="11.85546875" style="1" bestFit="1" customWidth="1"/>
    <col min="6918" max="6918" width="14.5703125" style="1" bestFit="1" customWidth="1"/>
    <col min="6919" max="6922" width="11.85546875" style="1" bestFit="1" customWidth="1"/>
    <col min="6923" max="6923" width="14.5703125" style="1" bestFit="1" customWidth="1"/>
    <col min="6924" max="6924" width="11.85546875" style="1" bestFit="1" customWidth="1"/>
    <col min="6925" max="6927" width="8" style="1" bestFit="1" customWidth="1"/>
    <col min="6928" max="6928" width="14.5703125" style="1" bestFit="1" customWidth="1"/>
    <col min="6929" max="6932" width="8" style="1" bestFit="1" customWidth="1"/>
    <col min="6933" max="6933" width="14.5703125" style="1" bestFit="1" customWidth="1"/>
    <col min="6934" max="7166" width="9.140625" style="1"/>
    <col min="7167" max="7167" width="4" style="1" bestFit="1" customWidth="1"/>
    <col min="7168" max="7168" width="21.5703125" style="1" bestFit="1" customWidth="1"/>
    <col min="7169" max="7170" width="11.85546875" style="1" bestFit="1" customWidth="1"/>
    <col min="7171" max="7172" width="14.5703125" style="1" bestFit="1" customWidth="1"/>
    <col min="7173" max="7173" width="11.85546875" style="1" bestFit="1" customWidth="1"/>
    <col min="7174" max="7174" width="14.5703125" style="1" bestFit="1" customWidth="1"/>
    <col min="7175" max="7178" width="11.85546875" style="1" bestFit="1" customWidth="1"/>
    <col min="7179" max="7179" width="14.5703125" style="1" bestFit="1" customWidth="1"/>
    <col min="7180" max="7180" width="11.85546875" style="1" bestFit="1" customWidth="1"/>
    <col min="7181" max="7183" width="8" style="1" bestFit="1" customWidth="1"/>
    <col min="7184" max="7184" width="14.5703125" style="1" bestFit="1" customWidth="1"/>
    <col min="7185" max="7188" width="8" style="1" bestFit="1" customWidth="1"/>
    <col min="7189" max="7189" width="14.5703125" style="1" bestFit="1" customWidth="1"/>
    <col min="7190" max="7422" width="9.140625" style="1"/>
    <col min="7423" max="7423" width="4" style="1" bestFit="1" customWidth="1"/>
    <col min="7424" max="7424" width="21.5703125" style="1" bestFit="1" customWidth="1"/>
    <col min="7425" max="7426" width="11.85546875" style="1" bestFit="1" customWidth="1"/>
    <col min="7427" max="7428" width="14.5703125" style="1" bestFit="1" customWidth="1"/>
    <col min="7429" max="7429" width="11.85546875" style="1" bestFit="1" customWidth="1"/>
    <col min="7430" max="7430" width="14.5703125" style="1" bestFit="1" customWidth="1"/>
    <col min="7431" max="7434" width="11.85546875" style="1" bestFit="1" customWidth="1"/>
    <col min="7435" max="7435" width="14.5703125" style="1" bestFit="1" customWidth="1"/>
    <col min="7436" max="7436" width="11.85546875" style="1" bestFit="1" customWidth="1"/>
    <col min="7437" max="7439" width="8" style="1" bestFit="1" customWidth="1"/>
    <col min="7440" max="7440" width="14.5703125" style="1" bestFit="1" customWidth="1"/>
    <col min="7441" max="7444" width="8" style="1" bestFit="1" customWidth="1"/>
    <col min="7445" max="7445" width="14.5703125" style="1" bestFit="1" customWidth="1"/>
    <col min="7446" max="7678" width="9.140625" style="1"/>
    <col min="7679" max="7679" width="4" style="1" bestFit="1" customWidth="1"/>
    <col min="7680" max="7680" width="21.5703125" style="1" bestFit="1" customWidth="1"/>
    <col min="7681" max="7682" width="11.85546875" style="1" bestFit="1" customWidth="1"/>
    <col min="7683" max="7684" width="14.5703125" style="1" bestFit="1" customWidth="1"/>
    <col min="7685" max="7685" width="11.85546875" style="1" bestFit="1" customWidth="1"/>
    <col min="7686" max="7686" width="14.5703125" style="1" bestFit="1" customWidth="1"/>
    <col min="7687" max="7690" width="11.85546875" style="1" bestFit="1" customWidth="1"/>
    <col min="7691" max="7691" width="14.5703125" style="1" bestFit="1" customWidth="1"/>
    <col min="7692" max="7692" width="11.85546875" style="1" bestFit="1" customWidth="1"/>
    <col min="7693" max="7695" width="8" style="1" bestFit="1" customWidth="1"/>
    <col min="7696" max="7696" width="14.5703125" style="1" bestFit="1" customWidth="1"/>
    <col min="7697" max="7700" width="8" style="1" bestFit="1" customWidth="1"/>
    <col min="7701" max="7701" width="14.5703125" style="1" bestFit="1" customWidth="1"/>
    <col min="7702" max="7934" width="9.140625" style="1"/>
    <col min="7935" max="7935" width="4" style="1" bestFit="1" customWidth="1"/>
    <col min="7936" max="7936" width="21.5703125" style="1" bestFit="1" customWidth="1"/>
    <col min="7937" max="7938" width="11.85546875" style="1" bestFit="1" customWidth="1"/>
    <col min="7939" max="7940" width="14.5703125" style="1" bestFit="1" customWidth="1"/>
    <col min="7941" max="7941" width="11.85546875" style="1" bestFit="1" customWidth="1"/>
    <col min="7942" max="7942" width="14.5703125" style="1" bestFit="1" customWidth="1"/>
    <col min="7943" max="7946" width="11.85546875" style="1" bestFit="1" customWidth="1"/>
    <col min="7947" max="7947" width="14.5703125" style="1" bestFit="1" customWidth="1"/>
    <col min="7948" max="7948" width="11.85546875" style="1" bestFit="1" customWidth="1"/>
    <col min="7949" max="7951" width="8" style="1" bestFit="1" customWidth="1"/>
    <col min="7952" max="7952" width="14.5703125" style="1" bestFit="1" customWidth="1"/>
    <col min="7953" max="7956" width="8" style="1" bestFit="1" customWidth="1"/>
    <col min="7957" max="7957" width="14.5703125" style="1" bestFit="1" customWidth="1"/>
    <col min="7958" max="8190" width="9.140625" style="1"/>
    <col min="8191" max="8191" width="4" style="1" bestFit="1" customWidth="1"/>
    <col min="8192" max="8192" width="21.5703125" style="1" bestFit="1" customWidth="1"/>
    <col min="8193" max="8194" width="11.85546875" style="1" bestFit="1" customWidth="1"/>
    <col min="8195" max="8196" width="14.5703125" style="1" bestFit="1" customWidth="1"/>
    <col min="8197" max="8197" width="11.85546875" style="1" bestFit="1" customWidth="1"/>
    <col min="8198" max="8198" width="14.5703125" style="1" bestFit="1" customWidth="1"/>
    <col min="8199" max="8202" width="11.85546875" style="1" bestFit="1" customWidth="1"/>
    <col min="8203" max="8203" width="14.5703125" style="1" bestFit="1" customWidth="1"/>
    <col min="8204" max="8204" width="11.85546875" style="1" bestFit="1" customWidth="1"/>
    <col min="8205" max="8207" width="8" style="1" bestFit="1" customWidth="1"/>
    <col min="8208" max="8208" width="14.5703125" style="1" bestFit="1" customWidth="1"/>
    <col min="8209" max="8212" width="8" style="1" bestFit="1" customWidth="1"/>
    <col min="8213" max="8213" width="14.5703125" style="1" bestFit="1" customWidth="1"/>
    <col min="8214" max="8446" width="9.140625" style="1"/>
    <col min="8447" max="8447" width="4" style="1" bestFit="1" customWidth="1"/>
    <col min="8448" max="8448" width="21.5703125" style="1" bestFit="1" customWidth="1"/>
    <col min="8449" max="8450" width="11.85546875" style="1" bestFit="1" customWidth="1"/>
    <col min="8451" max="8452" width="14.5703125" style="1" bestFit="1" customWidth="1"/>
    <col min="8453" max="8453" width="11.85546875" style="1" bestFit="1" customWidth="1"/>
    <col min="8454" max="8454" width="14.5703125" style="1" bestFit="1" customWidth="1"/>
    <col min="8455" max="8458" width="11.85546875" style="1" bestFit="1" customWidth="1"/>
    <col min="8459" max="8459" width="14.5703125" style="1" bestFit="1" customWidth="1"/>
    <col min="8460" max="8460" width="11.85546875" style="1" bestFit="1" customWidth="1"/>
    <col min="8461" max="8463" width="8" style="1" bestFit="1" customWidth="1"/>
    <col min="8464" max="8464" width="14.5703125" style="1" bestFit="1" customWidth="1"/>
    <col min="8465" max="8468" width="8" style="1" bestFit="1" customWidth="1"/>
    <col min="8469" max="8469" width="14.5703125" style="1" bestFit="1" customWidth="1"/>
    <col min="8470" max="8702" width="9.140625" style="1"/>
    <col min="8703" max="8703" width="4" style="1" bestFit="1" customWidth="1"/>
    <col min="8704" max="8704" width="21.5703125" style="1" bestFit="1" customWidth="1"/>
    <col min="8705" max="8706" width="11.85546875" style="1" bestFit="1" customWidth="1"/>
    <col min="8707" max="8708" width="14.5703125" style="1" bestFit="1" customWidth="1"/>
    <col min="8709" max="8709" width="11.85546875" style="1" bestFit="1" customWidth="1"/>
    <col min="8710" max="8710" width="14.5703125" style="1" bestFit="1" customWidth="1"/>
    <col min="8711" max="8714" width="11.85546875" style="1" bestFit="1" customWidth="1"/>
    <col min="8715" max="8715" width="14.5703125" style="1" bestFit="1" customWidth="1"/>
    <col min="8716" max="8716" width="11.85546875" style="1" bestFit="1" customWidth="1"/>
    <col min="8717" max="8719" width="8" style="1" bestFit="1" customWidth="1"/>
    <col min="8720" max="8720" width="14.5703125" style="1" bestFit="1" customWidth="1"/>
    <col min="8721" max="8724" width="8" style="1" bestFit="1" customWidth="1"/>
    <col min="8725" max="8725" width="14.5703125" style="1" bestFit="1" customWidth="1"/>
    <col min="8726" max="8958" width="9.140625" style="1"/>
    <col min="8959" max="8959" width="4" style="1" bestFit="1" customWidth="1"/>
    <col min="8960" max="8960" width="21.5703125" style="1" bestFit="1" customWidth="1"/>
    <col min="8961" max="8962" width="11.85546875" style="1" bestFit="1" customWidth="1"/>
    <col min="8963" max="8964" width="14.5703125" style="1" bestFit="1" customWidth="1"/>
    <col min="8965" max="8965" width="11.85546875" style="1" bestFit="1" customWidth="1"/>
    <col min="8966" max="8966" width="14.5703125" style="1" bestFit="1" customWidth="1"/>
    <col min="8967" max="8970" width="11.85546875" style="1" bestFit="1" customWidth="1"/>
    <col min="8971" max="8971" width="14.5703125" style="1" bestFit="1" customWidth="1"/>
    <col min="8972" max="8972" width="11.85546875" style="1" bestFit="1" customWidth="1"/>
    <col min="8973" max="8975" width="8" style="1" bestFit="1" customWidth="1"/>
    <col min="8976" max="8976" width="14.5703125" style="1" bestFit="1" customWidth="1"/>
    <col min="8977" max="8980" width="8" style="1" bestFit="1" customWidth="1"/>
    <col min="8981" max="8981" width="14.5703125" style="1" bestFit="1" customWidth="1"/>
    <col min="8982" max="9214" width="9.140625" style="1"/>
    <col min="9215" max="9215" width="4" style="1" bestFit="1" customWidth="1"/>
    <col min="9216" max="9216" width="21.5703125" style="1" bestFit="1" customWidth="1"/>
    <col min="9217" max="9218" width="11.85546875" style="1" bestFit="1" customWidth="1"/>
    <col min="9219" max="9220" width="14.5703125" style="1" bestFit="1" customWidth="1"/>
    <col min="9221" max="9221" width="11.85546875" style="1" bestFit="1" customWidth="1"/>
    <col min="9222" max="9222" width="14.5703125" style="1" bestFit="1" customWidth="1"/>
    <col min="9223" max="9226" width="11.85546875" style="1" bestFit="1" customWidth="1"/>
    <col min="9227" max="9227" width="14.5703125" style="1" bestFit="1" customWidth="1"/>
    <col min="9228" max="9228" width="11.85546875" style="1" bestFit="1" customWidth="1"/>
    <col min="9229" max="9231" width="8" style="1" bestFit="1" customWidth="1"/>
    <col min="9232" max="9232" width="14.5703125" style="1" bestFit="1" customWidth="1"/>
    <col min="9233" max="9236" width="8" style="1" bestFit="1" customWidth="1"/>
    <col min="9237" max="9237" width="14.5703125" style="1" bestFit="1" customWidth="1"/>
    <col min="9238" max="9470" width="9.140625" style="1"/>
    <col min="9471" max="9471" width="4" style="1" bestFit="1" customWidth="1"/>
    <col min="9472" max="9472" width="21.5703125" style="1" bestFit="1" customWidth="1"/>
    <col min="9473" max="9474" width="11.85546875" style="1" bestFit="1" customWidth="1"/>
    <col min="9475" max="9476" width="14.5703125" style="1" bestFit="1" customWidth="1"/>
    <col min="9477" max="9477" width="11.85546875" style="1" bestFit="1" customWidth="1"/>
    <col min="9478" max="9478" width="14.5703125" style="1" bestFit="1" customWidth="1"/>
    <col min="9479" max="9482" width="11.85546875" style="1" bestFit="1" customWidth="1"/>
    <col min="9483" max="9483" width="14.5703125" style="1" bestFit="1" customWidth="1"/>
    <col min="9484" max="9484" width="11.85546875" style="1" bestFit="1" customWidth="1"/>
    <col min="9485" max="9487" width="8" style="1" bestFit="1" customWidth="1"/>
    <col min="9488" max="9488" width="14.5703125" style="1" bestFit="1" customWidth="1"/>
    <col min="9489" max="9492" width="8" style="1" bestFit="1" customWidth="1"/>
    <col min="9493" max="9493" width="14.5703125" style="1" bestFit="1" customWidth="1"/>
    <col min="9494" max="9726" width="9.140625" style="1"/>
    <col min="9727" max="9727" width="4" style="1" bestFit="1" customWidth="1"/>
    <col min="9728" max="9728" width="21.5703125" style="1" bestFit="1" customWidth="1"/>
    <col min="9729" max="9730" width="11.85546875" style="1" bestFit="1" customWidth="1"/>
    <col min="9731" max="9732" width="14.5703125" style="1" bestFit="1" customWidth="1"/>
    <col min="9733" max="9733" width="11.85546875" style="1" bestFit="1" customWidth="1"/>
    <col min="9734" max="9734" width="14.5703125" style="1" bestFit="1" customWidth="1"/>
    <col min="9735" max="9738" width="11.85546875" style="1" bestFit="1" customWidth="1"/>
    <col min="9739" max="9739" width="14.5703125" style="1" bestFit="1" customWidth="1"/>
    <col min="9740" max="9740" width="11.85546875" style="1" bestFit="1" customWidth="1"/>
    <col min="9741" max="9743" width="8" style="1" bestFit="1" customWidth="1"/>
    <col min="9744" max="9744" width="14.5703125" style="1" bestFit="1" customWidth="1"/>
    <col min="9745" max="9748" width="8" style="1" bestFit="1" customWidth="1"/>
    <col min="9749" max="9749" width="14.5703125" style="1" bestFit="1" customWidth="1"/>
    <col min="9750" max="9982" width="9.140625" style="1"/>
    <col min="9983" max="9983" width="4" style="1" bestFit="1" customWidth="1"/>
    <col min="9984" max="9984" width="21.5703125" style="1" bestFit="1" customWidth="1"/>
    <col min="9985" max="9986" width="11.85546875" style="1" bestFit="1" customWidth="1"/>
    <col min="9987" max="9988" width="14.5703125" style="1" bestFit="1" customWidth="1"/>
    <col min="9989" max="9989" width="11.85546875" style="1" bestFit="1" customWidth="1"/>
    <col min="9990" max="9990" width="14.5703125" style="1" bestFit="1" customWidth="1"/>
    <col min="9991" max="9994" width="11.85546875" style="1" bestFit="1" customWidth="1"/>
    <col min="9995" max="9995" width="14.5703125" style="1" bestFit="1" customWidth="1"/>
    <col min="9996" max="9996" width="11.85546875" style="1" bestFit="1" customWidth="1"/>
    <col min="9997" max="9999" width="8" style="1" bestFit="1" customWidth="1"/>
    <col min="10000" max="10000" width="14.5703125" style="1" bestFit="1" customWidth="1"/>
    <col min="10001" max="10004" width="8" style="1" bestFit="1" customWidth="1"/>
    <col min="10005" max="10005" width="14.5703125" style="1" bestFit="1" customWidth="1"/>
    <col min="10006" max="10238" width="9.140625" style="1"/>
    <col min="10239" max="10239" width="4" style="1" bestFit="1" customWidth="1"/>
    <col min="10240" max="10240" width="21.5703125" style="1" bestFit="1" customWidth="1"/>
    <col min="10241" max="10242" width="11.85546875" style="1" bestFit="1" customWidth="1"/>
    <col min="10243" max="10244" width="14.5703125" style="1" bestFit="1" customWidth="1"/>
    <col min="10245" max="10245" width="11.85546875" style="1" bestFit="1" customWidth="1"/>
    <col min="10246" max="10246" width="14.5703125" style="1" bestFit="1" customWidth="1"/>
    <col min="10247" max="10250" width="11.85546875" style="1" bestFit="1" customWidth="1"/>
    <col min="10251" max="10251" width="14.5703125" style="1" bestFit="1" customWidth="1"/>
    <col min="10252" max="10252" width="11.85546875" style="1" bestFit="1" customWidth="1"/>
    <col min="10253" max="10255" width="8" style="1" bestFit="1" customWidth="1"/>
    <col min="10256" max="10256" width="14.5703125" style="1" bestFit="1" customWidth="1"/>
    <col min="10257" max="10260" width="8" style="1" bestFit="1" customWidth="1"/>
    <col min="10261" max="10261" width="14.5703125" style="1" bestFit="1" customWidth="1"/>
    <col min="10262" max="10494" width="9.140625" style="1"/>
    <col min="10495" max="10495" width="4" style="1" bestFit="1" customWidth="1"/>
    <col min="10496" max="10496" width="21.5703125" style="1" bestFit="1" customWidth="1"/>
    <col min="10497" max="10498" width="11.85546875" style="1" bestFit="1" customWidth="1"/>
    <col min="10499" max="10500" width="14.5703125" style="1" bestFit="1" customWidth="1"/>
    <col min="10501" max="10501" width="11.85546875" style="1" bestFit="1" customWidth="1"/>
    <col min="10502" max="10502" width="14.5703125" style="1" bestFit="1" customWidth="1"/>
    <col min="10503" max="10506" width="11.85546875" style="1" bestFit="1" customWidth="1"/>
    <col min="10507" max="10507" width="14.5703125" style="1" bestFit="1" customWidth="1"/>
    <col min="10508" max="10508" width="11.85546875" style="1" bestFit="1" customWidth="1"/>
    <col min="10509" max="10511" width="8" style="1" bestFit="1" customWidth="1"/>
    <col min="10512" max="10512" width="14.5703125" style="1" bestFit="1" customWidth="1"/>
    <col min="10513" max="10516" width="8" style="1" bestFit="1" customWidth="1"/>
    <col min="10517" max="10517" width="14.5703125" style="1" bestFit="1" customWidth="1"/>
    <col min="10518" max="10750" width="9.140625" style="1"/>
    <col min="10751" max="10751" width="4" style="1" bestFit="1" customWidth="1"/>
    <col min="10752" max="10752" width="21.5703125" style="1" bestFit="1" customWidth="1"/>
    <col min="10753" max="10754" width="11.85546875" style="1" bestFit="1" customWidth="1"/>
    <col min="10755" max="10756" width="14.5703125" style="1" bestFit="1" customWidth="1"/>
    <col min="10757" max="10757" width="11.85546875" style="1" bestFit="1" customWidth="1"/>
    <col min="10758" max="10758" width="14.5703125" style="1" bestFit="1" customWidth="1"/>
    <col min="10759" max="10762" width="11.85546875" style="1" bestFit="1" customWidth="1"/>
    <col min="10763" max="10763" width="14.5703125" style="1" bestFit="1" customWidth="1"/>
    <col min="10764" max="10764" width="11.85546875" style="1" bestFit="1" customWidth="1"/>
    <col min="10765" max="10767" width="8" style="1" bestFit="1" customWidth="1"/>
    <col min="10768" max="10768" width="14.5703125" style="1" bestFit="1" customWidth="1"/>
    <col min="10769" max="10772" width="8" style="1" bestFit="1" customWidth="1"/>
    <col min="10773" max="10773" width="14.5703125" style="1" bestFit="1" customWidth="1"/>
    <col min="10774" max="11006" width="9.140625" style="1"/>
    <col min="11007" max="11007" width="4" style="1" bestFit="1" customWidth="1"/>
    <col min="11008" max="11008" width="21.5703125" style="1" bestFit="1" customWidth="1"/>
    <col min="11009" max="11010" width="11.85546875" style="1" bestFit="1" customWidth="1"/>
    <col min="11011" max="11012" width="14.5703125" style="1" bestFit="1" customWidth="1"/>
    <col min="11013" max="11013" width="11.85546875" style="1" bestFit="1" customWidth="1"/>
    <col min="11014" max="11014" width="14.5703125" style="1" bestFit="1" customWidth="1"/>
    <col min="11015" max="11018" width="11.85546875" style="1" bestFit="1" customWidth="1"/>
    <col min="11019" max="11019" width="14.5703125" style="1" bestFit="1" customWidth="1"/>
    <col min="11020" max="11020" width="11.85546875" style="1" bestFit="1" customWidth="1"/>
    <col min="11021" max="11023" width="8" style="1" bestFit="1" customWidth="1"/>
    <col min="11024" max="11024" width="14.5703125" style="1" bestFit="1" customWidth="1"/>
    <col min="11025" max="11028" width="8" style="1" bestFit="1" customWidth="1"/>
    <col min="11029" max="11029" width="14.5703125" style="1" bestFit="1" customWidth="1"/>
    <col min="11030" max="11262" width="9.140625" style="1"/>
    <col min="11263" max="11263" width="4" style="1" bestFit="1" customWidth="1"/>
    <col min="11264" max="11264" width="21.5703125" style="1" bestFit="1" customWidth="1"/>
    <col min="11265" max="11266" width="11.85546875" style="1" bestFit="1" customWidth="1"/>
    <col min="11267" max="11268" width="14.5703125" style="1" bestFit="1" customWidth="1"/>
    <col min="11269" max="11269" width="11.85546875" style="1" bestFit="1" customWidth="1"/>
    <col min="11270" max="11270" width="14.5703125" style="1" bestFit="1" customWidth="1"/>
    <col min="11271" max="11274" width="11.85546875" style="1" bestFit="1" customWidth="1"/>
    <col min="11275" max="11275" width="14.5703125" style="1" bestFit="1" customWidth="1"/>
    <col min="11276" max="11276" width="11.85546875" style="1" bestFit="1" customWidth="1"/>
    <col min="11277" max="11279" width="8" style="1" bestFit="1" customWidth="1"/>
    <col min="11280" max="11280" width="14.5703125" style="1" bestFit="1" customWidth="1"/>
    <col min="11281" max="11284" width="8" style="1" bestFit="1" customWidth="1"/>
    <col min="11285" max="11285" width="14.5703125" style="1" bestFit="1" customWidth="1"/>
    <col min="11286" max="11518" width="9.140625" style="1"/>
    <col min="11519" max="11519" width="4" style="1" bestFit="1" customWidth="1"/>
    <col min="11520" max="11520" width="21.5703125" style="1" bestFit="1" customWidth="1"/>
    <col min="11521" max="11522" width="11.85546875" style="1" bestFit="1" customWidth="1"/>
    <col min="11523" max="11524" width="14.5703125" style="1" bestFit="1" customWidth="1"/>
    <col min="11525" max="11525" width="11.85546875" style="1" bestFit="1" customWidth="1"/>
    <col min="11526" max="11526" width="14.5703125" style="1" bestFit="1" customWidth="1"/>
    <col min="11527" max="11530" width="11.85546875" style="1" bestFit="1" customWidth="1"/>
    <col min="11531" max="11531" width="14.5703125" style="1" bestFit="1" customWidth="1"/>
    <col min="11532" max="11532" width="11.85546875" style="1" bestFit="1" customWidth="1"/>
    <col min="11533" max="11535" width="8" style="1" bestFit="1" customWidth="1"/>
    <col min="11536" max="11536" width="14.5703125" style="1" bestFit="1" customWidth="1"/>
    <col min="11537" max="11540" width="8" style="1" bestFit="1" customWidth="1"/>
    <col min="11541" max="11541" width="14.5703125" style="1" bestFit="1" customWidth="1"/>
    <col min="11542" max="11774" width="9.140625" style="1"/>
    <col min="11775" max="11775" width="4" style="1" bestFit="1" customWidth="1"/>
    <col min="11776" max="11776" width="21.5703125" style="1" bestFit="1" customWidth="1"/>
    <col min="11777" max="11778" width="11.85546875" style="1" bestFit="1" customWidth="1"/>
    <col min="11779" max="11780" width="14.5703125" style="1" bestFit="1" customWidth="1"/>
    <col min="11781" max="11781" width="11.85546875" style="1" bestFit="1" customWidth="1"/>
    <col min="11782" max="11782" width="14.5703125" style="1" bestFit="1" customWidth="1"/>
    <col min="11783" max="11786" width="11.85546875" style="1" bestFit="1" customWidth="1"/>
    <col min="11787" max="11787" width="14.5703125" style="1" bestFit="1" customWidth="1"/>
    <col min="11788" max="11788" width="11.85546875" style="1" bestFit="1" customWidth="1"/>
    <col min="11789" max="11791" width="8" style="1" bestFit="1" customWidth="1"/>
    <col min="11792" max="11792" width="14.5703125" style="1" bestFit="1" customWidth="1"/>
    <col min="11793" max="11796" width="8" style="1" bestFit="1" customWidth="1"/>
    <col min="11797" max="11797" width="14.5703125" style="1" bestFit="1" customWidth="1"/>
    <col min="11798" max="12030" width="9.140625" style="1"/>
    <col min="12031" max="12031" width="4" style="1" bestFit="1" customWidth="1"/>
    <col min="12032" max="12032" width="21.5703125" style="1" bestFit="1" customWidth="1"/>
    <col min="12033" max="12034" width="11.85546875" style="1" bestFit="1" customWidth="1"/>
    <col min="12035" max="12036" width="14.5703125" style="1" bestFit="1" customWidth="1"/>
    <col min="12037" max="12037" width="11.85546875" style="1" bestFit="1" customWidth="1"/>
    <col min="12038" max="12038" width="14.5703125" style="1" bestFit="1" customWidth="1"/>
    <col min="12039" max="12042" width="11.85546875" style="1" bestFit="1" customWidth="1"/>
    <col min="12043" max="12043" width="14.5703125" style="1" bestFit="1" customWidth="1"/>
    <col min="12044" max="12044" width="11.85546875" style="1" bestFit="1" customWidth="1"/>
    <col min="12045" max="12047" width="8" style="1" bestFit="1" customWidth="1"/>
    <col min="12048" max="12048" width="14.5703125" style="1" bestFit="1" customWidth="1"/>
    <col min="12049" max="12052" width="8" style="1" bestFit="1" customWidth="1"/>
    <col min="12053" max="12053" width="14.5703125" style="1" bestFit="1" customWidth="1"/>
    <col min="12054" max="12286" width="9.140625" style="1"/>
    <col min="12287" max="12287" width="4" style="1" bestFit="1" customWidth="1"/>
    <col min="12288" max="12288" width="21.5703125" style="1" bestFit="1" customWidth="1"/>
    <col min="12289" max="12290" width="11.85546875" style="1" bestFit="1" customWidth="1"/>
    <col min="12291" max="12292" width="14.5703125" style="1" bestFit="1" customWidth="1"/>
    <col min="12293" max="12293" width="11.85546875" style="1" bestFit="1" customWidth="1"/>
    <col min="12294" max="12294" width="14.5703125" style="1" bestFit="1" customWidth="1"/>
    <col min="12295" max="12298" width="11.85546875" style="1" bestFit="1" customWidth="1"/>
    <col min="12299" max="12299" width="14.5703125" style="1" bestFit="1" customWidth="1"/>
    <col min="12300" max="12300" width="11.85546875" style="1" bestFit="1" customWidth="1"/>
    <col min="12301" max="12303" width="8" style="1" bestFit="1" customWidth="1"/>
    <col min="12304" max="12304" width="14.5703125" style="1" bestFit="1" customWidth="1"/>
    <col min="12305" max="12308" width="8" style="1" bestFit="1" customWidth="1"/>
    <col min="12309" max="12309" width="14.5703125" style="1" bestFit="1" customWidth="1"/>
    <col min="12310" max="12542" width="9.140625" style="1"/>
    <col min="12543" max="12543" width="4" style="1" bestFit="1" customWidth="1"/>
    <col min="12544" max="12544" width="21.5703125" style="1" bestFit="1" customWidth="1"/>
    <col min="12545" max="12546" width="11.85546875" style="1" bestFit="1" customWidth="1"/>
    <col min="12547" max="12548" width="14.5703125" style="1" bestFit="1" customWidth="1"/>
    <col min="12549" max="12549" width="11.85546875" style="1" bestFit="1" customWidth="1"/>
    <col min="12550" max="12550" width="14.5703125" style="1" bestFit="1" customWidth="1"/>
    <col min="12551" max="12554" width="11.85546875" style="1" bestFit="1" customWidth="1"/>
    <col min="12555" max="12555" width="14.5703125" style="1" bestFit="1" customWidth="1"/>
    <col min="12556" max="12556" width="11.85546875" style="1" bestFit="1" customWidth="1"/>
    <col min="12557" max="12559" width="8" style="1" bestFit="1" customWidth="1"/>
    <col min="12560" max="12560" width="14.5703125" style="1" bestFit="1" customWidth="1"/>
    <col min="12561" max="12564" width="8" style="1" bestFit="1" customWidth="1"/>
    <col min="12565" max="12565" width="14.5703125" style="1" bestFit="1" customWidth="1"/>
    <col min="12566" max="12798" width="9.140625" style="1"/>
    <col min="12799" max="12799" width="4" style="1" bestFit="1" customWidth="1"/>
    <col min="12800" max="12800" width="21.5703125" style="1" bestFit="1" customWidth="1"/>
    <col min="12801" max="12802" width="11.85546875" style="1" bestFit="1" customWidth="1"/>
    <col min="12803" max="12804" width="14.5703125" style="1" bestFit="1" customWidth="1"/>
    <col min="12805" max="12805" width="11.85546875" style="1" bestFit="1" customWidth="1"/>
    <col min="12806" max="12806" width="14.5703125" style="1" bestFit="1" customWidth="1"/>
    <col min="12807" max="12810" width="11.85546875" style="1" bestFit="1" customWidth="1"/>
    <col min="12811" max="12811" width="14.5703125" style="1" bestFit="1" customWidth="1"/>
    <col min="12812" max="12812" width="11.85546875" style="1" bestFit="1" customWidth="1"/>
    <col min="12813" max="12815" width="8" style="1" bestFit="1" customWidth="1"/>
    <col min="12816" max="12816" width="14.5703125" style="1" bestFit="1" customWidth="1"/>
    <col min="12817" max="12820" width="8" style="1" bestFit="1" customWidth="1"/>
    <col min="12821" max="12821" width="14.5703125" style="1" bestFit="1" customWidth="1"/>
    <col min="12822" max="13054" width="9.140625" style="1"/>
    <col min="13055" max="13055" width="4" style="1" bestFit="1" customWidth="1"/>
    <col min="13056" max="13056" width="21.5703125" style="1" bestFit="1" customWidth="1"/>
    <col min="13057" max="13058" width="11.85546875" style="1" bestFit="1" customWidth="1"/>
    <col min="13059" max="13060" width="14.5703125" style="1" bestFit="1" customWidth="1"/>
    <col min="13061" max="13061" width="11.85546875" style="1" bestFit="1" customWidth="1"/>
    <col min="13062" max="13062" width="14.5703125" style="1" bestFit="1" customWidth="1"/>
    <col min="13063" max="13066" width="11.85546875" style="1" bestFit="1" customWidth="1"/>
    <col min="13067" max="13067" width="14.5703125" style="1" bestFit="1" customWidth="1"/>
    <col min="13068" max="13068" width="11.85546875" style="1" bestFit="1" customWidth="1"/>
    <col min="13069" max="13071" width="8" style="1" bestFit="1" customWidth="1"/>
    <col min="13072" max="13072" width="14.5703125" style="1" bestFit="1" customWidth="1"/>
    <col min="13073" max="13076" width="8" style="1" bestFit="1" customWidth="1"/>
    <col min="13077" max="13077" width="14.5703125" style="1" bestFit="1" customWidth="1"/>
    <col min="13078" max="13310" width="9.140625" style="1"/>
    <col min="13311" max="13311" width="4" style="1" bestFit="1" customWidth="1"/>
    <col min="13312" max="13312" width="21.5703125" style="1" bestFit="1" customWidth="1"/>
    <col min="13313" max="13314" width="11.85546875" style="1" bestFit="1" customWidth="1"/>
    <col min="13315" max="13316" width="14.5703125" style="1" bestFit="1" customWidth="1"/>
    <col min="13317" max="13317" width="11.85546875" style="1" bestFit="1" customWidth="1"/>
    <col min="13318" max="13318" width="14.5703125" style="1" bestFit="1" customWidth="1"/>
    <col min="13319" max="13322" width="11.85546875" style="1" bestFit="1" customWidth="1"/>
    <col min="13323" max="13323" width="14.5703125" style="1" bestFit="1" customWidth="1"/>
    <col min="13324" max="13324" width="11.85546875" style="1" bestFit="1" customWidth="1"/>
    <col min="13325" max="13327" width="8" style="1" bestFit="1" customWidth="1"/>
    <col min="13328" max="13328" width="14.5703125" style="1" bestFit="1" customWidth="1"/>
    <col min="13329" max="13332" width="8" style="1" bestFit="1" customWidth="1"/>
    <col min="13333" max="13333" width="14.5703125" style="1" bestFit="1" customWidth="1"/>
    <col min="13334" max="13566" width="9.140625" style="1"/>
    <col min="13567" max="13567" width="4" style="1" bestFit="1" customWidth="1"/>
    <col min="13568" max="13568" width="21.5703125" style="1" bestFit="1" customWidth="1"/>
    <col min="13569" max="13570" width="11.85546875" style="1" bestFit="1" customWidth="1"/>
    <col min="13571" max="13572" width="14.5703125" style="1" bestFit="1" customWidth="1"/>
    <col min="13573" max="13573" width="11.85546875" style="1" bestFit="1" customWidth="1"/>
    <col min="13574" max="13574" width="14.5703125" style="1" bestFit="1" customWidth="1"/>
    <col min="13575" max="13578" width="11.85546875" style="1" bestFit="1" customWidth="1"/>
    <col min="13579" max="13579" width="14.5703125" style="1" bestFit="1" customWidth="1"/>
    <col min="13580" max="13580" width="11.85546875" style="1" bestFit="1" customWidth="1"/>
    <col min="13581" max="13583" width="8" style="1" bestFit="1" customWidth="1"/>
    <col min="13584" max="13584" width="14.5703125" style="1" bestFit="1" customWidth="1"/>
    <col min="13585" max="13588" width="8" style="1" bestFit="1" customWidth="1"/>
    <col min="13589" max="13589" width="14.5703125" style="1" bestFit="1" customWidth="1"/>
    <col min="13590" max="13822" width="9.140625" style="1"/>
    <col min="13823" max="13823" width="4" style="1" bestFit="1" customWidth="1"/>
    <col min="13824" max="13824" width="21.5703125" style="1" bestFit="1" customWidth="1"/>
    <col min="13825" max="13826" width="11.85546875" style="1" bestFit="1" customWidth="1"/>
    <col min="13827" max="13828" width="14.5703125" style="1" bestFit="1" customWidth="1"/>
    <col min="13829" max="13829" width="11.85546875" style="1" bestFit="1" customWidth="1"/>
    <col min="13830" max="13830" width="14.5703125" style="1" bestFit="1" customWidth="1"/>
    <col min="13831" max="13834" width="11.85546875" style="1" bestFit="1" customWidth="1"/>
    <col min="13835" max="13835" width="14.5703125" style="1" bestFit="1" customWidth="1"/>
    <col min="13836" max="13836" width="11.85546875" style="1" bestFit="1" customWidth="1"/>
    <col min="13837" max="13839" width="8" style="1" bestFit="1" customWidth="1"/>
    <col min="13840" max="13840" width="14.5703125" style="1" bestFit="1" customWidth="1"/>
    <col min="13841" max="13844" width="8" style="1" bestFit="1" customWidth="1"/>
    <col min="13845" max="13845" width="14.5703125" style="1" bestFit="1" customWidth="1"/>
    <col min="13846" max="14078" width="9.140625" style="1"/>
    <col min="14079" max="14079" width="4" style="1" bestFit="1" customWidth="1"/>
    <col min="14080" max="14080" width="21.5703125" style="1" bestFit="1" customWidth="1"/>
    <col min="14081" max="14082" width="11.85546875" style="1" bestFit="1" customWidth="1"/>
    <col min="14083" max="14084" width="14.5703125" style="1" bestFit="1" customWidth="1"/>
    <col min="14085" max="14085" width="11.85546875" style="1" bestFit="1" customWidth="1"/>
    <col min="14086" max="14086" width="14.5703125" style="1" bestFit="1" customWidth="1"/>
    <col min="14087" max="14090" width="11.85546875" style="1" bestFit="1" customWidth="1"/>
    <col min="14091" max="14091" width="14.5703125" style="1" bestFit="1" customWidth="1"/>
    <col min="14092" max="14092" width="11.85546875" style="1" bestFit="1" customWidth="1"/>
    <col min="14093" max="14095" width="8" style="1" bestFit="1" customWidth="1"/>
    <col min="14096" max="14096" width="14.5703125" style="1" bestFit="1" customWidth="1"/>
    <col min="14097" max="14100" width="8" style="1" bestFit="1" customWidth="1"/>
    <col min="14101" max="14101" width="14.5703125" style="1" bestFit="1" customWidth="1"/>
    <col min="14102" max="14334" width="9.140625" style="1"/>
    <col min="14335" max="14335" width="4" style="1" bestFit="1" customWidth="1"/>
    <col min="14336" max="14336" width="21.5703125" style="1" bestFit="1" customWidth="1"/>
    <col min="14337" max="14338" width="11.85546875" style="1" bestFit="1" customWidth="1"/>
    <col min="14339" max="14340" width="14.5703125" style="1" bestFit="1" customWidth="1"/>
    <col min="14341" max="14341" width="11.85546875" style="1" bestFit="1" customWidth="1"/>
    <col min="14342" max="14342" width="14.5703125" style="1" bestFit="1" customWidth="1"/>
    <col min="14343" max="14346" width="11.85546875" style="1" bestFit="1" customWidth="1"/>
    <col min="14347" max="14347" width="14.5703125" style="1" bestFit="1" customWidth="1"/>
    <col min="14348" max="14348" width="11.85546875" style="1" bestFit="1" customWidth="1"/>
    <col min="14349" max="14351" width="8" style="1" bestFit="1" customWidth="1"/>
    <col min="14352" max="14352" width="14.5703125" style="1" bestFit="1" customWidth="1"/>
    <col min="14353" max="14356" width="8" style="1" bestFit="1" customWidth="1"/>
    <col min="14357" max="14357" width="14.5703125" style="1" bestFit="1" customWidth="1"/>
    <col min="14358" max="14590" width="9.140625" style="1"/>
    <col min="14591" max="14591" width="4" style="1" bestFit="1" customWidth="1"/>
    <col min="14592" max="14592" width="21.5703125" style="1" bestFit="1" customWidth="1"/>
    <col min="14593" max="14594" width="11.85546875" style="1" bestFit="1" customWidth="1"/>
    <col min="14595" max="14596" width="14.5703125" style="1" bestFit="1" customWidth="1"/>
    <col min="14597" max="14597" width="11.85546875" style="1" bestFit="1" customWidth="1"/>
    <col min="14598" max="14598" width="14.5703125" style="1" bestFit="1" customWidth="1"/>
    <col min="14599" max="14602" width="11.85546875" style="1" bestFit="1" customWidth="1"/>
    <col min="14603" max="14603" width="14.5703125" style="1" bestFit="1" customWidth="1"/>
    <col min="14604" max="14604" width="11.85546875" style="1" bestFit="1" customWidth="1"/>
    <col min="14605" max="14607" width="8" style="1" bestFit="1" customWidth="1"/>
    <col min="14608" max="14608" width="14.5703125" style="1" bestFit="1" customWidth="1"/>
    <col min="14609" max="14612" width="8" style="1" bestFit="1" customWidth="1"/>
    <col min="14613" max="14613" width="14.5703125" style="1" bestFit="1" customWidth="1"/>
    <col min="14614" max="14846" width="9.140625" style="1"/>
    <col min="14847" max="14847" width="4" style="1" bestFit="1" customWidth="1"/>
    <col min="14848" max="14848" width="21.5703125" style="1" bestFit="1" customWidth="1"/>
    <col min="14849" max="14850" width="11.85546875" style="1" bestFit="1" customWidth="1"/>
    <col min="14851" max="14852" width="14.5703125" style="1" bestFit="1" customWidth="1"/>
    <col min="14853" max="14853" width="11.85546875" style="1" bestFit="1" customWidth="1"/>
    <col min="14854" max="14854" width="14.5703125" style="1" bestFit="1" customWidth="1"/>
    <col min="14855" max="14858" width="11.85546875" style="1" bestFit="1" customWidth="1"/>
    <col min="14859" max="14859" width="14.5703125" style="1" bestFit="1" customWidth="1"/>
    <col min="14860" max="14860" width="11.85546875" style="1" bestFit="1" customWidth="1"/>
    <col min="14861" max="14863" width="8" style="1" bestFit="1" customWidth="1"/>
    <col min="14864" max="14864" width="14.5703125" style="1" bestFit="1" customWidth="1"/>
    <col min="14865" max="14868" width="8" style="1" bestFit="1" customWidth="1"/>
    <col min="14869" max="14869" width="14.5703125" style="1" bestFit="1" customWidth="1"/>
    <col min="14870" max="15102" width="9.140625" style="1"/>
    <col min="15103" max="15103" width="4" style="1" bestFit="1" customWidth="1"/>
    <col min="15104" max="15104" width="21.5703125" style="1" bestFit="1" customWidth="1"/>
    <col min="15105" max="15106" width="11.85546875" style="1" bestFit="1" customWidth="1"/>
    <col min="15107" max="15108" width="14.5703125" style="1" bestFit="1" customWidth="1"/>
    <col min="15109" max="15109" width="11.85546875" style="1" bestFit="1" customWidth="1"/>
    <col min="15110" max="15110" width="14.5703125" style="1" bestFit="1" customWidth="1"/>
    <col min="15111" max="15114" width="11.85546875" style="1" bestFit="1" customWidth="1"/>
    <col min="15115" max="15115" width="14.5703125" style="1" bestFit="1" customWidth="1"/>
    <col min="15116" max="15116" width="11.85546875" style="1" bestFit="1" customWidth="1"/>
    <col min="15117" max="15119" width="8" style="1" bestFit="1" customWidth="1"/>
    <col min="15120" max="15120" width="14.5703125" style="1" bestFit="1" customWidth="1"/>
    <col min="15121" max="15124" width="8" style="1" bestFit="1" customWidth="1"/>
    <col min="15125" max="15125" width="14.5703125" style="1" bestFit="1" customWidth="1"/>
    <col min="15126" max="15358" width="9.140625" style="1"/>
    <col min="15359" max="15359" width="4" style="1" bestFit="1" customWidth="1"/>
    <col min="15360" max="15360" width="21.5703125" style="1" bestFit="1" customWidth="1"/>
    <col min="15361" max="15362" width="11.85546875" style="1" bestFit="1" customWidth="1"/>
    <col min="15363" max="15364" width="14.5703125" style="1" bestFit="1" customWidth="1"/>
    <col min="15365" max="15365" width="11.85546875" style="1" bestFit="1" customWidth="1"/>
    <col min="15366" max="15366" width="14.5703125" style="1" bestFit="1" customWidth="1"/>
    <col min="15367" max="15370" width="11.85546875" style="1" bestFit="1" customWidth="1"/>
    <col min="15371" max="15371" width="14.5703125" style="1" bestFit="1" customWidth="1"/>
    <col min="15372" max="15372" width="11.85546875" style="1" bestFit="1" customWidth="1"/>
    <col min="15373" max="15375" width="8" style="1" bestFit="1" customWidth="1"/>
    <col min="15376" max="15376" width="14.5703125" style="1" bestFit="1" customWidth="1"/>
    <col min="15377" max="15380" width="8" style="1" bestFit="1" customWidth="1"/>
    <col min="15381" max="15381" width="14.5703125" style="1" bestFit="1" customWidth="1"/>
    <col min="15382" max="15614" width="9.140625" style="1"/>
    <col min="15615" max="15615" width="4" style="1" bestFit="1" customWidth="1"/>
    <col min="15616" max="15616" width="21.5703125" style="1" bestFit="1" customWidth="1"/>
    <col min="15617" max="15618" width="11.85546875" style="1" bestFit="1" customWidth="1"/>
    <col min="15619" max="15620" width="14.5703125" style="1" bestFit="1" customWidth="1"/>
    <col min="15621" max="15621" width="11.85546875" style="1" bestFit="1" customWidth="1"/>
    <col min="15622" max="15622" width="14.5703125" style="1" bestFit="1" customWidth="1"/>
    <col min="15623" max="15626" width="11.85546875" style="1" bestFit="1" customWidth="1"/>
    <col min="15627" max="15627" width="14.5703125" style="1" bestFit="1" customWidth="1"/>
    <col min="15628" max="15628" width="11.85546875" style="1" bestFit="1" customWidth="1"/>
    <col min="15629" max="15631" width="8" style="1" bestFit="1" customWidth="1"/>
    <col min="15632" max="15632" width="14.5703125" style="1" bestFit="1" customWidth="1"/>
    <col min="15633" max="15636" width="8" style="1" bestFit="1" customWidth="1"/>
    <col min="15637" max="15637" width="14.5703125" style="1" bestFit="1" customWidth="1"/>
    <col min="15638" max="15870" width="9.140625" style="1"/>
    <col min="15871" max="15871" width="4" style="1" bestFit="1" customWidth="1"/>
    <col min="15872" max="15872" width="21.5703125" style="1" bestFit="1" customWidth="1"/>
    <col min="15873" max="15874" width="11.85546875" style="1" bestFit="1" customWidth="1"/>
    <col min="15875" max="15876" width="14.5703125" style="1" bestFit="1" customWidth="1"/>
    <col min="15877" max="15877" width="11.85546875" style="1" bestFit="1" customWidth="1"/>
    <col min="15878" max="15878" width="14.5703125" style="1" bestFit="1" customWidth="1"/>
    <col min="15879" max="15882" width="11.85546875" style="1" bestFit="1" customWidth="1"/>
    <col min="15883" max="15883" width="14.5703125" style="1" bestFit="1" customWidth="1"/>
    <col min="15884" max="15884" width="11.85546875" style="1" bestFit="1" customWidth="1"/>
    <col min="15885" max="15887" width="8" style="1" bestFit="1" customWidth="1"/>
    <col min="15888" max="15888" width="14.5703125" style="1" bestFit="1" customWidth="1"/>
    <col min="15889" max="15892" width="8" style="1" bestFit="1" customWidth="1"/>
    <col min="15893" max="15893" width="14.5703125" style="1" bestFit="1" customWidth="1"/>
    <col min="15894" max="16126" width="9.140625" style="1"/>
    <col min="16127" max="16127" width="4" style="1" bestFit="1" customWidth="1"/>
    <col min="16128" max="16128" width="21.5703125" style="1" bestFit="1" customWidth="1"/>
    <col min="16129" max="16130" width="11.85546875" style="1" bestFit="1" customWidth="1"/>
    <col min="16131" max="16132" width="14.5703125" style="1" bestFit="1" customWidth="1"/>
    <col min="16133" max="16133" width="11.85546875" style="1" bestFit="1" customWidth="1"/>
    <col min="16134" max="16134" width="14.5703125" style="1" bestFit="1" customWidth="1"/>
    <col min="16135" max="16138" width="11.85546875" style="1" bestFit="1" customWidth="1"/>
    <col min="16139" max="16139" width="14.5703125" style="1" bestFit="1" customWidth="1"/>
    <col min="16140" max="16140" width="11.85546875" style="1" bestFit="1" customWidth="1"/>
    <col min="16141" max="16143" width="8" style="1" bestFit="1" customWidth="1"/>
    <col min="16144" max="16144" width="14.5703125" style="1" bestFit="1" customWidth="1"/>
    <col min="16145" max="16148" width="8" style="1" bestFit="1" customWidth="1"/>
    <col min="16149" max="16149" width="14.5703125" style="1" bestFit="1" customWidth="1"/>
    <col min="16150" max="16384" width="9.140625" style="1"/>
  </cols>
  <sheetData>
    <row r="1" spans="1:25" x14ac:dyDescent="0.2">
      <c r="B1" s="2"/>
      <c r="C1" s="2"/>
    </row>
    <row r="2" spans="1:25" s="4" customFormat="1" x14ac:dyDescent="0.2">
      <c r="B2" s="71" t="s">
        <v>0</v>
      </c>
      <c r="C2" s="71"/>
      <c r="D2" s="71"/>
      <c r="E2" s="71"/>
      <c r="F2" s="71"/>
      <c r="G2" s="71"/>
      <c r="H2" s="71"/>
      <c r="I2" s="71"/>
      <c r="J2" s="71"/>
      <c r="K2" s="71"/>
      <c r="L2" s="71"/>
      <c r="M2" s="71"/>
      <c r="N2" s="71"/>
      <c r="O2" s="71"/>
      <c r="P2" s="71"/>
      <c r="Q2" s="71"/>
      <c r="R2" s="71"/>
      <c r="S2" s="71"/>
      <c r="T2" s="71"/>
      <c r="U2" s="71"/>
      <c r="V2" s="71"/>
      <c r="W2" s="71"/>
      <c r="Y2" s="3"/>
    </row>
    <row r="3" spans="1:25" s="4" customFormat="1" x14ac:dyDescent="0.2">
      <c r="B3" s="5"/>
      <c r="C3" s="5"/>
      <c r="D3" s="5"/>
      <c r="E3" s="72" t="s">
        <v>1</v>
      </c>
      <c r="F3" s="73"/>
      <c r="G3" s="74"/>
      <c r="H3" s="5"/>
      <c r="I3" s="5"/>
      <c r="J3" s="75" t="s">
        <v>2</v>
      </c>
      <c r="K3" s="75"/>
      <c r="L3" s="75"/>
      <c r="M3" s="5"/>
      <c r="N3" s="5"/>
      <c r="O3" s="75" t="s">
        <v>3</v>
      </c>
      <c r="P3" s="75"/>
      <c r="Q3" s="75"/>
      <c r="R3" s="5"/>
      <c r="S3" s="5"/>
      <c r="T3" s="75" t="s">
        <v>4</v>
      </c>
      <c r="U3" s="75"/>
      <c r="V3" s="75"/>
      <c r="W3" s="5"/>
      <c r="Y3" s="3"/>
    </row>
    <row r="4" spans="1:25" x14ac:dyDescent="0.2">
      <c r="B4" s="6"/>
      <c r="C4" s="6"/>
      <c r="D4" s="6"/>
      <c r="E4" s="7">
        <v>45748</v>
      </c>
      <c r="F4" s="7">
        <v>45778</v>
      </c>
      <c r="G4" s="7">
        <v>45809</v>
      </c>
      <c r="H4" s="8"/>
      <c r="I4" s="5"/>
      <c r="J4" s="7">
        <v>45839</v>
      </c>
      <c r="K4" s="7">
        <v>45870</v>
      </c>
      <c r="L4" s="7">
        <v>45901</v>
      </c>
      <c r="M4" s="8"/>
      <c r="N4" s="5"/>
      <c r="O4" s="7">
        <v>45931</v>
      </c>
      <c r="P4" s="7">
        <v>45962</v>
      </c>
      <c r="Q4" s="7">
        <v>45992</v>
      </c>
      <c r="R4" s="8"/>
      <c r="S4" s="5"/>
      <c r="T4" s="7">
        <v>46023</v>
      </c>
      <c r="U4" s="7">
        <v>46054</v>
      </c>
      <c r="V4" s="7">
        <v>46082</v>
      </c>
    </row>
    <row r="5" spans="1:25" ht="36" x14ac:dyDescent="0.2">
      <c r="A5" s="9" t="s">
        <v>5</v>
      </c>
      <c r="B5" s="9" t="s">
        <v>6</v>
      </c>
      <c r="C5" s="10" t="s">
        <v>7</v>
      </c>
      <c r="D5" s="10" t="s">
        <v>8</v>
      </c>
      <c r="E5" s="10" t="s">
        <v>9</v>
      </c>
      <c r="F5" s="10" t="s">
        <v>10</v>
      </c>
      <c r="G5" s="10" t="s">
        <v>11</v>
      </c>
      <c r="H5" s="10" t="s">
        <v>12</v>
      </c>
      <c r="I5" s="10" t="s">
        <v>13</v>
      </c>
      <c r="J5" s="10" t="s">
        <v>14</v>
      </c>
      <c r="K5" s="10" t="s">
        <v>15</v>
      </c>
      <c r="L5" s="10" t="s">
        <v>16</v>
      </c>
      <c r="M5" s="10" t="s">
        <v>12</v>
      </c>
      <c r="N5" s="10" t="s">
        <v>13</v>
      </c>
      <c r="O5" s="10" t="s">
        <v>17</v>
      </c>
      <c r="P5" s="10" t="s">
        <v>18</v>
      </c>
      <c r="Q5" s="10" t="s">
        <v>19</v>
      </c>
      <c r="R5" s="10" t="s">
        <v>12</v>
      </c>
      <c r="S5" s="10" t="s">
        <v>13</v>
      </c>
      <c r="T5" s="10" t="s">
        <v>20</v>
      </c>
      <c r="U5" s="10" t="s">
        <v>21</v>
      </c>
      <c r="V5" s="10" t="s">
        <v>22</v>
      </c>
      <c r="W5" s="10" t="s">
        <v>12</v>
      </c>
    </row>
    <row r="6" spans="1:25" x14ac:dyDescent="0.2">
      <c r="A6" s="11"/>
      <c r="B6" s="71" t="s">
        <v>23</v>
      </c>
      <c r="C6" s="71"/>
      <c r="D6" s="11" t="s">
        <v>24</v>
      </c>
      <c r="E6" s="12"/>
      <c r="F6" s="12"/>
      <c r="G6" s="12"/>
      <c r="H6" s="12"/>
      <c r="I6" s="12"/>
      <c r="J6" s="12"/>
      <c r="K6" s="12"/>
      <c r="L6" s="12"/>
      <c r="M6" s="12"/>
      <c r="N6" s="12"/>
      <c r="O6" s="12"/>
      <c r="P6" s="12"/>
      <c r="Q6" s="12"/>
      <c r="R6" s="12"/>
      <c r="S6" s="12"/>
      <c r="T6" s="12"/>
      <c r="U6" s="12"/>
      <c r="V6" s="12"/>
      <c r="W6" s="12"/>
    </row>
    <row r="7" spans="1:25" x14ac:dyDescent="0.2">
      <c r="A7" s="13">
        <v>1</v>
      </c>
      <c r="B7" s="14" t="s">
        <v>25</v>
      </c>
      <c r="C7" s="15"/>
      <c r="D7" s="16">
        <v>1734</v>
      </c>
      <c r="E7" s="17">
        <v>0</v>
      </c>
      <c r="F7" s="17">
        <v>0</v>
      </c>
      <c r="G7" s="17">
        <v>0</v>
      </c>
      <c r="H7" s="18">
        <f>((E7+D7)*3+F7*2+G7*1)*C7</f>
        <v>0</v>
      </c>
      <c r="I7" s="17">
        <f>SUM(D7:G7)</f>
        <v>1734</v>
      </c>
      <c r="J7" s="17">
        <v>30</v>
      </c>
      <c r="K7" s="17">
        <v>64</v>
      </c>
      <c r="L7" s="17">
        <f>0-57</f>
        <v>-57</v>
      </c>
      <c r="M7" s="18">
        <f>((J7+I7)*3+K7*2+L7*1)*C7</f>
        <v>0</v>
      </c>
      <c r="N7" s="17">
        <f>SUM(I7:L7)</f>
        <v>1771</v>
      </c>
      <c r="O7" s="17">
        <f>0-1</f>
        <v>-1</v>
      </c>
      <c r="P7" s="17">
        <v>0</v>
      </c>
      <c r="Q7" s="17">
        <v>0</v>
      </c>
      <c r="R7" s="18">
        <f>((O7+N7)*3+P7*2+Q7*1)*C7</f>
        <v>0</v>
      </c>
      <c r="S7" s="17">
        <f>SUM(N7:Q7)</f>
        <v>1770</v>
      </c>
      <c r="T7" s="17">
        <f>0-1101</f>
        <v>-1101</v>
      </c>
      <c r="U7" s="17">
        <v>0</v>
      </c>
      <c r="V7" s="17">
        <v>0</v>
      </c>
      <c r="W7" s="18">
        <f>((T7+S7)*3+U7*2+V7*1)*C7</f>
        <v>0</v>
      </c>
    </row>
    <row r="8" spans="1:25" x14ac:dyDescent="0.2">
      <c r="A8" s="13">
        <v>2</v>
      </c>
      <c r="B8" s="14" t="s">
        <v>26</v>
      </c>
      <c r="C8" s="15"/>
      <c r="D8" s="16">
        <v>7465</v>
      </c>
      <c r="E8" s="17">
        <v>0</v>
      </c>
      <c r="F8" s="17">
        <v>0</v>
      </c>
      <c r="G8" s="17">
        <v>17</v>
      </c>
      <c r="H8" s="18">
        <f>((E8+D8)*3+F8*2+G8*1)*C8</f>
        <v>0</v>
      </c>
      <c r="I8" s="17">
        <f t="shared" ref="I8:I10" si="0">SUM(D8:G8)</f>
        <v>7482</v>
      </c>
      <c r="J8" s="17">
        <v>15</v>
      </c>
      <c r="K8" s="17">
        <v>94</v>
      </c>
      <c r="L8" s="17">
        <f>3-1007</f>
        <v>-1004</v>
      </c>
      <c r="M8" s="18">
        <f>((J8+I8)*3+K8*2+L8*1)*C8</f>
        <v>0</v>
      </c>
      <c r="N8" s="17">
        <f>SUM(I8:L8)</f>
        <v>6587</v>
      </c>
      <c r="O8" s="17">
        <f>0+23</f>
        <v>23</v>
      </c>
      <c r="P8" s="17">
        <v>2</v>
      </c>
      <c r="Q8" s="17">
        <f>0+3-2</f>
        <v>1</v>
      </c>
      <c r="R8" s="18">
        <f>((O8+N8)*3+P8*2+Q8*1)*C8</f>
        <v>0</v>
      </c>
      <c r="S8" s="17">
        <f>SUM(N8:Q8)</f>
        <v>6613</v>
      </c>
      <c r="T8" s="17">
        <f>0-4296+404</f>
        <v>-3892</v>
      </c>
      <c r="U8" s="17">
        <v>992</v>
      </c>
      <c r="V8" s="17">
        <f>0-270</f>
        <v>-270</v>
      </c>
      <c r="W8" s="18">
        <f>((T8+S8)*3+U8*2+V8*1)*C8</f>
        <v>0</v>
      </c>
    </row>
    <row r="9" spans="1:25" x14ac:dyDescent="0.2">
      <c r="A9" s="13">
        <v>3</v>
      </c>
      <c r="B9" s="14" t="s">
        <v>27</v>
      </c>
      <c r="C9" s="15"/>
      <c r="D9" s="16">
        <v>363</v>
      </c>
      <c r="E9" s="17">
        <v>0</v>
      </c>
      <c r="F9" s="17">
        <v>0</v>
      </c>
      <c r="G9" s="17">
        <v>0</v>
      </c>
      <c r="H9" s="18">
        <f>((E9+D9)*3+F9*2+G9*1)*C9</f>
        <v>0</v>
      </c>
      <c r="I9" s="17">
        <f t="shared" si="0"/>
        <v>363</v>
      </c>
      <c r="J9" s="17">
        <v>1</v>
      </c>
      <c r="K9" s="17">
        <v>0</v>
      </c>
      <c r="L9" s="17">
        <f>2-1</f>
        <v>1</v>
      </c>
      <c r="M9" s="18">
        <f>((J9+I9)*3+K9*2+L9*1)*C9</f>
        <v>0</v>
      </c>
      <c r="N9" s="17">
        <f>SUM(I9:L9)</f>
        <v>365</v>
      </c>
      <c r="O9" s="17">
        <f>0-1</f>
        <v>-1</v>
      </c>
      <c r="P9" s="17">
        <v>4</v>
      </c>
      <c r="Q9" s="17">
        <v>0</v>
      </c>
      <c r="R9" s="18">
        <f>((O9+N9)*3+P9*2+Q9*1)*C9</f>
        <v>0</v>
      </c>
      <c r="S9" s="17">
        <f>SUM(N9:Q9)</f>
        <v>368</v>
      </c>
      <c r="T9" s="17">
        <f>0-52</f>
        <v>-52</v>
      </c>
      <c r="U9" s="17">
        <v>182</v>
      </c>
      <c r="V9" s="17">
        <f>0-1</f>
        <v>-1</v>
      </c>
      <c r="W9" s="18">
        <f>((T9+S9)*3+U9*2+V9*1)*C9</f>
        <v>0</v>
      </c>
    </row>
    <row r="10" spans="1:25" x14ac:dyDescent="0.2">
      <c r="A10" s="13">
        <v>4</v>
      </c>
      <c r="B10" s="14" t="s">
        <v>28</v>
      </c>
      <c r="C10" s="15"/>
      <c r="D10" s="16">
        <v>467</v>
      </c>
      <c r="E10" s="17">
        <v>0</v>
      </c>
      <c r="F10" s="17">
        <v>0</v>
      </c>
      <c r="G10" s="17">
        <v>0</v>
      </c>
      <c r="H10" s="18">
        <f>((E10+D10)*3+F10*2+G10*1)*C10</f>
        <v>0</v>
      </c>
      <c r="I10" s="17">
        <f t="shared" si="0"/>
        <v>467</v>
      </c>
      <c r="J10" s="17">
        <v>0</v>
      </c>
      <c r="K10" s="17">
        <v>0</v>
      </c>
      <c r="L10" s="17">
        <f>0-43</f>
        <v>-43</v>
      </c>
      <c r="M10" s="18">
        <f>((J10+I10)*3+K10*2+L10*1)*C10</f>
        <v>0</v>
      </c>
      <c r="N10" s="17">
        <f>SUM(I10:L10)</f>
        <v>424</v>
      </c>
      <c r="O10" s="17">
        <f>0-16</f>
        <v>-16</v>
      </c>
      <c r="P10" s="17">
        <v>0</v>
      </c>
      <c r="Q10" s="17">
        <v>0</v>
      </c>
      <c r="R10" s="18">
        <f>((O10+N10)*3+P10*2+Q10*1)*C10</f>
        <v>0</v>
      </c>
      <c r="S10" s="17">
        <f>SUM(N10:Q10)</f>
        <v>408</v>
      </c>
      <c r="T10" s="17">
        <v>10</v>
      </c>
      <c r="U10" s="17">
        <v>361</v>
      </c>
      <c r="V10" s="17">
        <f>0-37</f>
        <v>-37</v>
      </c>
      <c r="W10" s="18">
        <f>((T10+S10)*3+U10*2+V10*1)*C10</f>
        <v>0</v>
      </c>
    </row>
    <row r="11" spans="1:25" x14ac:dyDescent="0.2">
      <c r="A11" s="13"/>
      <c r="B11" s="19" t="s">
        <v>29</v>
      </c>
      <c r="C11" s="15"/>
      <c r="D11" s="17"/>
      <c r="E11" s="76"/>
      <c r="F11" s="77"/>
      <c r="G11" s="78"/>
      <c r="H11" s="20">
        <f>SUM(H7:H10)</f>
        <v>0</v>
      </c>
      <c r="I11" s="76"/>
      <c r="J11" s="77"/>
      <c r="K11" s="77"/>
      <c r="L11" s="78"/>
      <c r="M11" s="20">
        <f>SUM(M7:M10)</f>
        <v>0</v>
      </c>
      <c r="N11" s="76"/>
      <c r="O11" s="77"/>
      <c r="P11" s="77"/>
      <c r="Q11" s="78"/>
      <c r="R11" s="20">
        <f>SUM(R7:R10)</f>
        <v>0</v>
      </c>
      <c r="S11" s="76"/>
      <c r="T11" s="77"/>
      <c r="U11" s="77"/>
      <c r="V11" s="78"/>
      <c r="W11" s="20">
        <f>SUM(W7:W10)</f>
        <v>0</v>
      </c>
    </row>
    <row r="12" spans="1:25" x14ac:dyDescent="0.2">
      <c r="A12" s="13"/>
      <c r="B12" s="14"/>
      <c r="C12" s="15"/>
      <c r="D12" s="17"/>
      <c r="E12" s="17"/>
      <c r="F12" s="17"/>
      <c r="G12" s="17"/>
      <c r="H12" s="18"/>
      <c r="I12" s="17"/>
      <c r="J12" s="17"/>
      <c r="K12" s="17"/>
      <c r="L12" s="17"/>
      <c r="M12" s="18"/>
      <c r="N12" s="17"/>
      <c r="O12" s="17"/>
      <c r="P12" s="17"/>
      <c r="Q12" s="17"/>
      <c r="R12" s="18"/>
      <c r="S12" s="17"/>
      <c r="T12" s="17"/>
      <c r="U12" s="17"/>
      <c r="V12" s="17"/>
      <c r="W12" s="18"/>
    </row>
    <row r="13" spans="1:25" x14ac:dyDescent="0.2">
      <c r="A13" s="13"/>
      <c r="B13" s="71" t="s">
        <v>30</v>
      </c>
      <c r="C13" s="71"/>
      <c r="D13" s="11" t="s">
        <v>31</v>
      </c>
      <c r="E13" s="79"/>
      <c r="F13" s="80"/>
      <c r="G13" s="81"/>
      <c r="H13" s="17"/>
      <c r="I13" s="79"/>
      <c r="J13" s="80"/>
      <c r="K13" s="80"/>
      <c r="L13" s="81"/>
      <c r="M13" s="17"/>
      <c r="N13" s="79"/>
      <c r="O13" s="80"/>
      <c r="P13" s="80"/>
      <c r="Q13" s="81"/>
      <c r="R13" s="17"/>
      <c r="S13" s="79"/>
      <c r="T13" s="80"/>
      <c r="U13" s="80"/>
      <c r="V13" s="81"/>
      <c r="W13" s="17"/>
    </row>
    <row r="14" spans="1:25" x14ac:dyDescent="0.2">
      <c r="A14" s="13">
        <v>5</v>
      </c>
      <c r="B14" s="12" t="s">
        <v>32</v>
      </c>
      <c r="C14" s="61"/>
      <c r="D14" s="21">
        <v>1</v>
      </c>
      <c r="E14" s="82"/>
      <c r="F14" s="83"/>
      <c r="G14" s="84"/>
      <c r="H14" s="22">
        <f t="shared" ref="H14:H20" si="1">C14*D14*3</f>
        <v>0</v>
      </c>
      <c r="I14" s="82"/>
      <c r="J14" s="83"/>
      <c r="K14" s="83"/>
      <c r="L14" s="84"/>
      <c r="M14" s="62">
        <f t="shared" ref="M14:M20" si="2">C14*D14*3</f>
        <v>0</v>
      </c>
      <c r="N14" s="82"/>
      <c r="O14" s="83"/>
      <c r="P14" s="83"/>
      <c r="Q14" s="84"/>
      <c r="R14" s="62">
        <f t="shared" ref="R14:R20" si="3">C14*D14*3</f>
        <v>0</v>
      </c>
      <c r="S14" s="82"/>
      <c r="T14" s="83"/>
      <c r="U14" s="83"/>
      <c r="V14" s="84"/>
      <c r="W14" s="18">
        <f t="shared" ref="W14:W20" si="4">C14*D14*3</f>
        <v>0</v>
      </c>
    </row>
    <row r="15" spans="1:25" x14ac:dyDescent="0.2">
      <c r="A15" s="13">
        <v>6</v>
      </c>
      <c r="B15" s="12" t="s">
        <v>33</v>
      </c>
      <c r="C15" s="61"/>
      <c r="D15" s="21">
        <v>2</v>
      </c>
      <c r="E15" s="82"/>
      <c r="F15" s="83"/>
      <c r="G15" s="84"/>
      <c r="H15" s="22">
        <f t="shared" si="1"/>
        <v>0</v>
      </c>
      <c r="I15" s="82"/>
      <c r="J15" s="83"/>
      <c r="K15" s="83"/>
      <c r="L15" s="84"/>
      <c r="M15" s="62">
        <f t="shared" si="2"/>
        <v>0</v>
      </c>
      <c r="N15" s="82"/>
      <c r="O15" s="83"/>
      <c r="P15" s="83"/>
      <c r="Q15" s="84"/>
      <c r="R15" s="62">
        <f t="shared" si="3"/>
        <v>0</v>
      </c>
      <c r="S15" s="82"/>
      <c r="T15" s="83"/>
      <c r="U15" s="83"/>
      <c r="V15" s="84"/>
      <c r="W15" s="18">
        <f t="shared" si="4"/>
        <v>0</v>
      </c>
    </row>
    <row r="16" spans="1:25" x14ac:dyDescent="0.2">
      <c r="A16" s="13">
        <v>7</v>
      </c>
      <c r="B16" s="12" t="s">
        <v>34</v>
      </c>
      <c r="C16" s="61"/>
      <c r="D16" s="17">
        <v>2</v>
      </c>
      <c r="E16" s="82"/>
      <c r="F16" s="83"/>
      <c r="G16" s="84"/>
      <c r="H16" s="22">
        <f t="shared" si="1"/>
        <v>0</v>
      </c>
      <c r="I16" s="82"/>
      <c r="J16" s="83"/>
      <c r="K16" s="83"/>
      <c r="L16" s="84"/>
      <c r="M16" s="62">
        <f t="shared" si="2"/>
        <v>0</v>
      </c>
      <c r="N16" s="82"/>
      <c r="O16" s="83"/>
      <c r="P16" s="83"/>
      <c r="Q16" s="84"/>
      <c r="R16" s="62">
        <f t="shared" si="3"/>
        <v>0</v>
      </c>
      <c r="S16" s="82"/>
      <c r="T16" s="83"/>
      <c r="U16" s="83"/>
      <c r="V16" s="84"/>
      <c r="W16" s="18">
        <f t="shared" si="4"/>
        <v>0</v>
      </c>
    </row>
    <row r="17" spans="1:25" x14ac:dyDescent="0.2">
      <c r="A17" s="13">
        <v>8</v>
      </c>
      <c r="B17" s="12" t="s">
        <v>35</v>
      </c>
      <c r="C17" s="61"/>
      <c r="D17" s="17">
        <v>1</v>
      </c>
      <c r="E17" s="82"/>
      <c r="F17" s="83"/>
      <c r="G17" s="84"/>
      <c r="H17" s="22">
        <f t="shared" si="1"/>
        <v>0</v>
      </c>
      <c r="I17" s="82"/>
      <c r="J17" s="83"/>
      <c r="K17" s="83"/>
      <c r="L17" s="84"/>
      <c r="M17" s="62">
        <f t="shared" si="2"/>
        <v>0</v>
      </c>
      <c r="N17" s="82"/>
      <c r="O17" s="83"/>
      <c r="P17" s="83"/>
      <c r="Q17" s="84"/>
      <c r="R17" s="62">
        <f t="shared" si="3"/>
        <v>0</v>
      </c>
      <c r="S17" s="82"/>
      <c r="T17" s="83"/>
      <c r="U17" s="83"/>
      <c r="V17" s="84"/>
      <c r="W17" s="18">
        <f t="shared" si="4"/>
        <v>0</v>
      </c>
    </row>
    <row r="18" spans="1:25" ht="24" x14ac:dyDescent="0.2">
      <c r="A18" s="13">
        <v>9</v>
      </c>
      <c r="B18" s="12" t="s">
        <v>36</v>
      </c>
      <c r="C18" s="61"/>
      <c r="D18" s="17">
        <v>1</v>
      </c>
      <c r="E18" s="82"/>
      <c r="F18" s="83"/>
      <c r="G18" s="84"/>
      <c r="H18" s="22">
        <f t="shared" si="1"/>
        <v>0</v>
      </c>
      <c r="I18" s="82"/>
      <c r="J18" s="83"/>
      <c r="K18" s="83"/>
      <c r="L18" s="84"/>
      <c r="M18" s="62">
        <f t="shared" si="2"/>
        <v>0</v>
      </c>
      <c r="N18" s="82"/>
      <c r="O18" s="83"/>
      <c r="P18" s="83"/>
      <c r="Q18" s="84"/>
      <c r="R18" s="62">
        <f t="shared" si="3"/>
        <v>0</v>
      </c>
      <c r="S18" s="82"/>
      <c r="T18" s="83"/>
      <c r="U18" s="83"/>
      <c r="V18" s="84"/>
      <c r="W18" s="18">
        <f t="shared" si="4"/>
        <v>0</v>
      </c>
    </row>
    <row r="19" spans="1:25" ht="35.25" customHeight="1" x14ac:dyDescent="0.2">
      <c r="A19" s="13">
        <v>10</v>
      </c>
      <c r="B19" s="12" t="s">
        <v>37</v>
      </c>
      <c r="C19" s="61"/>
      <c r="D19" s="17">
        <v>30</v>
      </c>
      <c r="E19" s="82"/>
      <c r="F19" s="83"/>
      <c r="G19" s="84"/>
      <c r="H19" s="22">
        <f t="shared" si="1"/>
        <v>0</v>
      </c>
      <c r="I19" s="82"/>
      <c r="J19" s="83"/>
      <c r="K19" s="83"/>
      <c r="L19" s="84"/>
      <c r="M19" s="62">
        <f t="shared" si="2"/>
        <v>0</v>
      </c>
      <c r="N19" s="82"/>
      <c r="O19" s="83"/>
      <c r="P19" s="83"/>
      <c r="Q19" s="84"/>
      <c r="R19" s="62">
        <f t="shared" si="3"/>
        <v>0</v>
      </c>
      <c r="S19" s="82"/>
      <c r="T19" s="83"/>
      <c r="U19" s="83"/>
      <c r="V19" s="84"/>
      <c r="W19" s="18">
        <f t="shared" si="4"/>
        <v>0</v>
      </c>
    </row>
    <row r="20" spans="1:25" ht="24" customHeight="1" x14ac:dyDescent="0.2">
      <c r="A20" s="13"/>
      <c r="B20" s="14" t="s">
        <v>88</v>
      </c>
      <c r="C20" s="61"/>
      <c r="D20" s="17">
        <v>4</v>
      </c>
      <c r="E20" s="82"/>
      <c r="F20" s="83"/>
      <c r="G20" s="84"/>
      <c r="H20" s="22">
        <f t="shared" si="1"/>
        <v>0</v>
      </c>
      <c r="I20" s="82"/>
      <c r="J20" s="83"/>
      <c r="K20" s="83"/>
      <c r="L20" s="84"/>
      <c r="M20" s="62">
        <f t="shared" si="2"/>
        <v>0</v>
      </c>
      <c r="N20" s="82"/>
      <c r="O20" s="83"/>
      <c r="P20" s="83"/>
      <c r="Q20" s="84"/>
      <c r="R20" s="62">
        <f t="shared" si="3"/>
        <v>0</v>
      </c>
      <c r="S20" s="82"/>
      <c r="T20" s="83"/>
      <c r="U20" s="83"/>
      <c r="V20" s="84"/>
      <c r="W20" s="18">
        <f t="shared" si="4"/>
        <v>0</v>
      </c>
    </row>
    <row r="21" spans="1:25" ht="24" x14ac:dyDescent="0.2">
      <c r="A21" s="13"/>
      <c r="B21" s="19" t="s">
        <v>38</v>
      </c>
      <c r="C21" s="15"/>
      <c r="D21" s="12"/>
      <c r="E21" s="85"/>
      <c r="F21" s="86"/>
      <c r="G21" s="87"/>
      <c r="H21" s="20">
        <f>SUM(H14:H20)</f>
        <v>0</v>
      </c>
      <c r="I21" s="85"/>
      <c r="J21" s="86"/>
      <c r="K21" s="86"/>
      <c r="L21" s="87"/>
      <c r="M21" s="20">
        <f>SUM(M14:M20)</f>
        <v>0</v>
      </c>
      <c r="N21" s="85"/>
      <c r="O21" s="86"/>
      <c r="P21" s="86"/>
      <c r="Q21" s="87"/>
      <c r="R21" s="20">
        <f>SUM(R14:R20)</f>
        <v>0</v>
      </c>
      <c r="S21" s="85"/>
      <c r="T21" s="86"/>
      <c r="U21" s="86"/>
      <c r="V21" s="87"/>
      <c r="W21" s="20">
        <f>SUM(W14:W20)</f>
        <v>0</v>
      </c>
    </row>
    <row r="22" spans="1:25" x14ac:dyDescent="0.2">
      <c r="A22" s="13"/>
      <c r="B22" s="23"/>
      <c r="C22" s="12"/>
      <c r="D22" s="12"/>
      <c r="E22" s="17"/>
      <c r="F22" s="17"/>
      <c r="G22" s="17"/>
      <c r="H22" s="17"/>
      <c r="I22" s="17"/>
      <c r="J22" s="17"/>
      <c r="K22" s="17"/>
      <c r="L22" s="17"/>
      <c r="M22" s="17"/>
      <c r="N22" s="17"/>
      <c r="O22" s="17"/>
      <c r="P22" s="17"/>
      <c r="Q22" s="17"/>
      <c r="R22" s="17"/>
      <c r="S22" s="17"/>
      <c r="T22" s="17"/>
      <c r="U22" s="17"/>
      <c r="V22" s="17"/>
      <c r="W22" s="17"/>
    </row>
    <row r="23" spans="1:25" x14ac:dyDescent="0.2">
      <c r="A23" s="4"/>
      <c r="B23" s="91" t="s">
        <v>39</v>
      </c>
      <c r="C23" s="92"/>
      <c r="D23" s="92"/>
      <c r="E23" s="92"/>
      <c r="F23" s="92"/>
      <c r="G23" s="92"/>
      <c r="H23" s="92"/>
      <c r="I23" s="92"/>
      <c r="J23" s="92"/>
      <c r="K23" s="92"/>
      <c r="L23" s="92"/>
      <c r="M23" s="92"/>
      <c r="N23" s="92"/>
      <c r="O23" s="92"/>
      <c r="P23" s="92"/>
      <c r="Q23" s="92"/>
      <c r="R23" s="92"/>
      <c r="S23" s="92"/>
      <c r="T23" s="92"/>
      <c r="U23" s="92"/>
      <c r="V23" s="92"/>
      <c r="W23" s="92"/>
    </row>
    <row r="24" spans="1:25" s="4" customFormat="1" x14ac:dyDescent="0.2">
      <c r="B24" s="5"/>
      <c r="C24" s="5"/>
      <c r="D24" s="5"/>
      <c r="E24" s="72" t="s">
        <v>1</v>
      </c>
      <c r="F24" s="73"/>
      <c r="G24" s="74"/>
      <c r="H24" s="5"/>
      <c r="I24" s="5"/>
      <c r="J24" s="75" t="s">
        <v>2</v>
      </c>
      <c r="K24" s="75"/>
      <c r="L24" s="75"/>
      <c r="M24" s="5"/>
      <c r="N24" s="5"/>
      <c r="O24" s="75" t="s">
        <v>3</v>
      </c>
      <c r="P24" s="75"/>
      <c r="Q24" s="75"/>
      <c r="R24" s="5"/>
      <c r="S24" s="5"/>
      <c r="T24" s="75" t="s">
        <v>4</v>
      </c>
      <c r="U24" s="75"/>
      <c r="V24" s="75"/>
      <c r="W24" s="5"/>
      <c r="Y24" s="3"/>
    </row>
    <row r="25" spans="1:25" s="4" customFormat="1" ht="24" x14ac:dyDescent="0.2">
      <c r="A25" s="13"/>
      <c r="B25" s="23"/>
      <c r="C25" s="10" t="s">
        <v>7</v>
      </c>
      <c r="D25" s="93"/>
      <c r="E25" s="7">
        <v>45748</v>
      </c>
      <c r="F25" s="7">
        <v>45778</v>
      </c>
      <c r="G25" s="7">
        <v>45809</v>
      </c>
      <c r="H25" s="12" t="s">
        <v>12</v>
      </c>
      <c r="I25" s="1"/>
      <c r="J25" s="7">
        <v>45839</v>
      </c>
      <c r="K25" s="7">
        <v>45870</v>
      </c>
      <c r="L25" s="7">
        <v>45901</v>
      </c>
      <c r="M25" s="12" t="s">
        <v>12</v>
      </c>
      <c r="N25" s="17"/>
      <c r="O25" s="7">
        <v>45931</v>
      </c>
      <c r="P25" s="7">
        <v>45962</v>
      </c>
      <c r="Q25" s="7">
        <v>45992</v>
      </c>
      <c r="R25" s="12" t="s">
        <v>12</v>
      </c>
      <c r="S25" s="12"/>
      <c r="T25" s="7">
        <v>46023</v>
      </c>
      <c r="U25" s="7">
        <v>46054</v>
      </c>
      <c r="V25" s="7">
        <v>46082</v>
      </c>
      <c r="W25" s="12" t="s">
        <v>12</v>
      </c>
      <c r="Y25" s="3"/>
    </row>
    <row r="26" spans="1:25" x14ac:dyDescent="0.2">
      <c r="A26" s="13">
        <v>11</v>
      </c>
      <c r="B26" s="12" t="s">
        <v>40</v>
      </c>
      <c r="C26" s="12"/>
      <c r="D26" s="93"/>
      <c r="E26" s="17">
        <v>1252</v>
      </c>
      <c r="F26" s="17">
        <v>1252</v>
      </c>
      <c r="G26" s="17">
        <v>1252</v>
      </c>
      <c r="H26" s="62">
        <f>(E26+F26+G26)*C26</f>
        <v>0</v>
      </c>
      <c r="I26" s="17"/>
      <c r="J26" s="17">
        <v>1222</v>
      </c>
      <c r="K26" s="17">
        <v>1158</v>
      </c>
      <c r="L26" s="17">
        <f>1158+57</f>
        <v>1215</v>
      </c>
      <c r="M26" s="62">
        <f>(J26+K26+L26)*C26</f>
        <v>0</v>
      </c>
      <c r="N26" s="17"/>
      <c r="O26" s="17">
        <v>1216</v>
      </c>
      <c r="P26" s="17">
        <v>1216</v>
      </c>
      <c r="Q26" s="17">
        <v>1216</v>
      </c>
      <c r="R26" s="62">
        <f>(O26+P26+Q26)*C26</f>
        <v>0</v>
      </c>
      <c r="S26" s="17"/>
      <c r="T26" s="17">
        <f>1216+1101</f>
        <v>2317</v>
      </c>
      <c r="U26" s="17">
        <f>2317</f>
        <v>2317</v>
      </c>
      <c r="V26" s="17">
        <f>2317</f>
        <v>2317</v>
      </c>
      <c r="W26" s="62">
        <f>(T26+U26+V26)*C26</f>
        <v>0</v>
      </c>
    </row>
    <row r="27" spans="1:25" x14ac:dyDescent="0.2">
      <c r="A27" s="13">
        <v>12</v>
      </c>
      <c r="B27" s="14" t="s">
        <v>41</v>
      </c>
      <c r="C27" s="12"/>
      <c r="D27" s="93"/>
      <c r="E27" s="17">
        <v>3679</v>
      </c>
      <c r="F27" s="17">
        <v>3679</v>
      </c>
      <c r="G27" s="17">
        <v>3662</v>
      </c>
      <c r="H27" s="62">
        <f>(E27+F27+G27)*C27</f>
        <v>0</v>
      </c>
      <c r="I27" s="17"/>
      <c r="J27" s="17">
        <v>3648</v>
      </c>
      <c r="K27" s="17">
        <v>3554</v>
      </c>
      <c r="L27" s="17">
        <f>3551+1007</f>
        <v>4558</v>
      </c>
      <c r="M27" s="62">
        <f>(J27+K27+L27)*C27</f>
        <v>0</v>
      </c>
      <c r="N27" s="17"/>
      <c r="O27" s="17">
        <f>4558-23</f>
        <v>4535</v>
      </c>
      <c r="P27" s="17">
        <v>4695</v>
      </c>
      <c r="Q27" s="17">
        <f>-3+2+4695</f>
        <v>4694</v>
      </c>
      <c r="R27" s="62">
        <f>O27*C27+P27*C27+Q27*C27</f>
        <v>0</v>
      </c>
      <c r="S27" s="17"/>
      <c r="T27" s="17">
        <f>4290+4296</f>
        <v>8586</v>
      </c>
      <c r="U27" s="17">
        <f>7594</f>
        <v>7594</v>
      </c>
      <c r="V27" s="17">
        <f>7594+270</f>
        <v>7864</v>
      </c>
      <c r="W27" s="62">
        <f>(T27+U27+V27)*C27</f>
        <v>0</v>
      </c>
    </row>
    <row r="28" spans="1:25" ht="24" x14ac:dyDescent="0.2">
      <c r="A28" s="13"/>
      <c r="B28" s="24" t="s">
        <v>42</v>
      </c>
      <c r="C28" s="12"/>
      <c r="D28" s="93"/>
      <c r="E28" s="76"/>
      <c r="F28" s="77"/>
      <c r="G28" s="78"/>
      <c r="H28" s="63">
        <f>SUM(H26:H27)</f>
        <v>0</v>
      </c>
      <c r="I28" s="76"/>
      <c r="J28" s="77"/>
      <c r="K28" s="77"/>
      <c r="L28" s="78"/>
      <c r="M28" s="20">
        <f>SUM(M26:M27)</f>
        <v>0</v>
      </c>
      <c r="N28" s="76"/>
      <c r="O28" s="77"/>
      <c r="P28" s="77"/>
      <c r="Q28" s="78"/>
      <c r="R28" s="20">
        <f>SUM(R26:R27)</f>
        <v>0</v>
      </c>
      <c r="S28" s="76"/>
      <c r="T28" s="77"/>
      <c r="U28" s="77"/>
      <c r="V28" s="78"/>
      <c r="W28" s="20">
        <f>SUM(W26:W27)</f>
        <v>0</v>
      </c>
    </row>
    <row r="29" spans="1:25" x14ac:dyDescent="0.2">
      <c r="A29" s="88" t="s">
        <v>43</v>
      </c>
      <c r="B29" s="89"/>
      <c r="C29" s="89"/>
      <c r="D29" s="89"/>
      <c r="E29" s="89"/>
      <c r="F29" s="89"/>
      <c r="G29" s="90"/>
      <c r="H29" s="26">
        <f>H11+H21+H28</f>
        <v>0</v>
      </c>
      <c r="I29" s="12"/>
      <c r="J29" s="12"/>
      <c r="K29" s="12"/>
      <c r="L29" s="12"/>
      <c r="M29" s="26">
        <f>M11+M21+M28</f>
        <v>0</v>
      </c>
      <c r="N29" s="12"/>
      <c r="O29" s="12"/>
      <c r="P29" s="12"/>
      <c r="Q29" s="12"/>
      <c r="R29" s="26">
        <f>R11+R21+R28</f>
        <v>0</v>
      </c>
      <c r="S29" s="12"/>
      <c r="T29" s="12"/>
      <c r="U29" s="12"/>
      <c r="V29" s="12"/>
      <c r="W29" s="26">
        <f>W11+W21+W28</f>
        <v>0</v>
      </c>
    </row>
    <row r="30" spans="1:25" x14ac:dyDescent="0.2">
      <c r="A30" s="13"/>
      <c r="B30" s="23"/>
      <c r="C30" s="12"/>
      <c r="D30" s="12"/>
      <c r="E30" s="17"/>
      <c r="F30" s="17"/>
      <c r="G30" s="17"/>
      <c r="H30" s="17"/>
      <c r="I30" s="17"/>
      <c r="J30" s="17"/>
      <c r="K30" s="17"/>
      <c r="L30" s="17"/>
      <c r="M30" s="17"/>
      <c r="N30" s="17"/>
      <c r="O30" s="17"/>
      <c r="P30" s="17"/>
      <c r="Q30" s="17"/>
      <c r="R30" s="17"/>
      <c r="S30" s="17"/>
      <c r="T30" s="17"/>
      <c r="U30" s="17"/>
      <c r="V30" s="17"/>
      <c r="W30" s="17"/>
    </row>
    <row r="31" spans="1:25" x14ac:dyDescent="0.2">
      <c r="A31" s="27"/>
      <c r="B31" s="28"/>
      <c r="C31" s="29"/>
      <c r="D31" s="29"/>
      <c r="E31" s="30"/>
      <c r="F31" s="30"/>
      <c r="G31" s="30"/>
      <c r="H31" s="30"/>
      <c r="I31" s="30"/>
      <c r="J31" s="30"/>
      <c r="K31" s="30"/>
      <c r="L31" s="30"/>
      <c r="M31" s="30"/>
      <c r="N31" s="30"/>
      <c r="O31" s="30"/>
      <c r="P31" s="30"/>
      <c r="Q31" s="30"/>
      <c r="R31" s="30"/>
      <c r="S31" s="30"/>
      <c r="T31" s="30"/>
      <c r="U31" s="30"/>
      <c r="V31" s="30"/>
      <c r="W31" s="30"/>
    </row>
    <row r="32" spans="1:25" x14ac:dyDescent="0.2">
      <c r="A32" s="13"/>
      <c r="B32" s="23"/>
      <c r="C32" s="12"/>
      <c r="D32" s="12"/>
      <c r="E32" s="17"/>
      <c r="F32" s="17"/>
      <c r="G32" s="17"/>
      <c r="H32" s="17"/>
      <c r="I32" s="17"/>
      <c r="J32" s="17"/>
      <c r="K32" s="17"/>
      <c r="L32" s="17"/>
      <c r="M32" s="17"/>
      <c r="N32" s="17"/>
      <c r="O32" s="17"/>
      <c r="P32" s="17"/>
      <c r="Q32" s="17"/>
      <c r="R32" s="17"/>
      <c r="S32" s="17"/>
      <c r="T32" s="17"/>
      <c r="U32" s="17"/>
      <c r="V32" s="17"/>
      <c r="W32" s="17"/>
    </row>
    <row r="33" spans="1:25" x14ac:dyDescent="0.2">
      <c r="A33" s="13"/>
      <c r="B33" s="23"/>
      <c r="C33" s="12"/>
      <c r="D33" s="12"/>
      <c r="E33" s="17"/>
      <c r="F33" s="17"/>
      <c r="G33" s="17"/>
      <c r="H33" s="17"/>
      <c r="I33" s="17"/>
      <c r="J33" s="17"/>
      <c r="K33" s="17"/>
      <c r="L33" s="17"/>
      <c r="M33" s="17"/>
      <c r="N33" s="17"/>
      <c r="O33" s="17"/>
      <c r="P33" s="17"/>
      <c r="Q33" s="17"/>
      <c r="R33" s="17"/>
      <c r="S33" s="17"/>
      <c r="T33" s="17"/>
      <c r="U33" s="17"/>
      <c r="V33" s="17"/>
      <c r="W33" s="17"/>
    </row>
    <row r="34" spans="1:25" x14ac:dyDescent="0.2">
      <c r="A34" s="13"/>
      <c r="B34" s="91" t="s">
        <v>44</v>
      </c>
      <c r="C34" s="92"/>
      <c r="D34" s="92"/>
      <c r="E34" s="92"/>
      <c r="F34" s="92"/>
      <c r="G34" s="92"/>
      <c r="H34" s="92"/>
      <c r="I34" s="92"/>
      <c r="J34" s="92"/>
      <c r="K34" s="92"/>
      <c r="L34" s="92"/>
      <c r="M34" s="92"/>
      <c r="N34" s="92"/>
      <c r="O34" s="92"/>
      <c r="P34" s="92"/>
      <c r="Q34" s="92"/>
      <c r="R34" s="92"/>
      <c r="S34" s="92"/>
      <c r="T34" s="92"/>
      <c r="U34" s="92"/>
      <c r="V34" s="92"/>
      <c r="W34" s="92"/>
    </row>
    <row r="35" spans="1:25" x14ac:dyDescent="0.2">
      <c r="A35" s="13"/>
      <c r="B35" s="5"/>
      <c r="C35" s="5"/>
      <c r="D35" s="5"/>
      <c r="E35" s="72" t="s">
        <v>1</v>
      </c>
      <c r="F35" s="73"/>
      <c r="G35" s="74"/>
      <c r="H35" s="5"/>
      <c r="I35" s="5"/>
      <c r="J35" s="72" t="s">
        <v>2</v>
      </c>
      <c r="K35" s="73"/>
      <c r="L35" s="74"/>
      <c r="M35" s="5"/>
      <c r="N35" s="5"/>
      <c r="O35" s="72" t="s">
        <v>3</v>
      </c>
      <c r="P35" s="73"/>
      <c r="Q35" s="74"/>
      <c r="R35" s="5"/>
      <c r="S35" s="5"/>
      <c r="T35" s="72" t="s">
        <v>4</v>
      </c>
      <c r="U35" s="73"/>
      <c r="V35" s="74"/>
      <c r="W35" s="5"/>
    </row>
    <row r="36" spans="1:25" x14ac:dyDescent="0.2">
      <c r="A36" s="13"/>
      <c r="B36" s="6"/>
      <c r="C36" s="6"/>
      <c r="D36" s="6"/>
      <c r="E36" s="7">
        <v>46113</v>
      </c>
      <c r="F36" s="7">
        <v>46143</v>
      </c>
      <c r="G36" s="7">
        <v>46174</v>
      </c>
      <c r="H36" s="8"/>
      <c r="I36" s="5"/>
      <c r="J36" s="7">
        <v>46204</v>
      </c>
      <c r="K36" s="7">
        <v>46235</v>
      </c>
      <c r="L36" s="7">
        <v>46266</v>
      </c>
      <c r="M36" s="8"/>
      <c r="N36" s="5"/>
      <c r="O36" s="7">
        <v>46296</v>
      </c>
      <c r="P36" s="7">
        <v>46327</v>
      </c>
      <c r="Q36" s="7">
        <v>46357</v>
      </c>
      <c r="R36" s="8"/>
      <c r="S36" s="5"/>
      <c r="T36" s="7">
        <v>46388</v>
      </c>
      <c r="U36" s="7">
        <v>46419</v>
      </c>
      <c r="V36" s="7">
        <v>46447</v>
      </c>
    </row>
    <row r="37" spans="1:25" ht="36" x14ac:dyDescent="0.2">
      <c r="A37" s="13"/>
      <c r="B37" s="9" t="s">
        <v>6</v>
      </c>
      <c r="C37" s="10" t="s">
        <v>7</v>
      </c>
      <c r="D37" s="10" t="s">
        <v>8</v>
      </c>
      <c r="E37" s="10" t="s">
        <v>9</v>
      </c>
      <c r="F37" s="10" t="s">
        <v>10</v>
      </c>
      <c r="G37" s="10" t="s">
        <v>11</v>
      </c>
      <c r="H37" s="10" t="s">
        <v>12</v>
      </c>
      <c r="I37" s="10" t="s">
        <v>13</v>
      </c>
      <c r="J37" s="10" t="s">
        <v>14</v>
      </c>
      <c r="K37" s="10" t="s">
        <v>15</v>
      </c>
      <c r="L37" s="10" t="s">
        <v>16</v>
      </c>
      <c r="M37" s="10" t="s">
        <v>12</v>
      </c>
      <c r="N37" s="10" t="s">
        <v>13</v>
      </c>
      <c r="O37" s="10" t="s">
        <v>17</v>
      </c>
      <c r="P37" s="10" t="s">
        <v>18</v>
      </c>
      <c r="Q37" s="10" t="s">
        <v>19</v>
      </c>
      <c r="R37" s="10" t="s">
        <v>12</v>
      </c>
      <c r="S37" s="10" t="s">
        <v>13</v>
      </c>
      <c r="T37" s="10" t="s">
        <v>20</v>
      </c>
      <c r="U37" s="10" t="s">
        <v>21</v>
      </c>
      <c r="V37" s="10" t="s">
        <v>22</v>
      </c>
      <c r="W37" s="10" t="s">
        <v>12</v>
      </c>
    </row>
    <row r="38" spans="1:25" x14ac:dyDescent="0.2">
      <c r="A38" s="13"/>
      <c r="B38" s="92" t="s">
        <v>23</v>
      </c>
      <c r="C38" s="94"/>
      <c r="D38" s="11" t="s">
        <v>24</v>
      </c>
      <c r="E38" s="12"/>
      <c r="F38" s="12"/>
      <c r="G38" s="12"/>
      <c r="H38" s="12"/>
      <c r="I38" s="12"/>
      <c r="J38" s="12"/>
      <c r="K38" s="12"/>
      <c r="L38" s="12"/>
      <c r="M38" s="12"/>
      <c r="N38" s="12"/>
      <c r="O38" s="12"/>
      <c r="P38" s="12"/>
      <c r="Q38" s="12"/>
      <c r="R38" s="12"/>
      <c r="S38" s="12"/>
      <c r="T38" s="12"/>
      <c r="U38" s="12"/>
      <c r="V38" s="12"/>
      <c r="W38" s="12"/>
    </row>
    <row r="39" spans="1:25" s="4" customFormat="1" x14ac:dyDescent="0.2">
      <c r="A39" s="13">
        <v>1</v>
      </c>
      <c r="B39" s="14" t="s">
        <v>25</v>
      </c>
      <c r="C39" s="15"/>
      <c r="D39" s="17">
        <v>669</v>
      </c>
      <c r="E39" s="17">
        <v>320</v>
      </c>
      <c r="F39" s="17">
        <v>95</v>
      </c>
      <c r="G39" s="17">
        <f>12</f>
        <v>12</v>
      </c>
      <c r="H39" s="18">
        <f t="shared" ref="H39:H42" si="5">((E39+D39)*3+F39*2+G39*1)*C39</f>
        <v>0</v>
      </c>
      <c r="I39" s="17">
        <f>SUM(D39:G39)</f>
        <v>1096</v>
      </c>
      <c r="J39" s="17">
        <v>43</v>
      </c>
      <c r="K39" s="17">
        <v>36</v>
      </c>
      <c r="L39" s="17">
        <v>24</v>
      </c>
      <c r="M39" s="18">
        <f>((I39+J39)*3+K39*2+L39*1)*C39</f>
        <v>0</v>
      </c>
      <c r="N39" s="17">
        <f>SUM(I39:L39)</f>
        <v>1199</v>
      </c>
      <c r="O39" s="17">
        <v>17</v>
      </c>
      <c r="P39" s="17">
        <f>2-2</f>
        <v>0</v>
      </c>
      <c r="Q39" s="17">
        <v>0</v>
      </c>
      <c r="R39" s="18">
        <f>((N39+O39)*3+P39*2+Q39*1)*C39</f>
        <v>0</v>
      </c>
      <c r="S39" s="17">
        <f>SUM(N39:Q39)</f>
        <v>1216</v>
      </c>
      <c r="T39" s="17">
        <f>46-2</f>
        <v>44</v>
      </c>
      <c r="U39" s="17">
        <v>185</v>
      </c>
      <c r="V39" s="17">
        <f>99-151</f>
        <v>-52</v>
      </c>
      <c r="W39" s="18">
        <f>((S39+T39)*3+U39*2+V39*1)*C39</f>
        <v>0</v>
      </c>
      <c r="Y39" s="3"/>
    </row>
    <row r="40" spans="1:25" x14ac:dyDescent="0.2">
      <c r="A40" s="13">
        <v>2</v>
      </c>
      <c r="B40" s="14" t="s">
        <v>26</v>
      </c>
      <c r="C40" s="15"/>
      <c r="D40" s="17">
        <v>3443</v>
      </c>
      <c r="E40" s="17">
        <v>54</v>
      </c>
      <c r="F40" s="17">
        <v>131</v>
      </c>
      <c r="G40" s="17">
        <v>73</v>
      </c>
      <c r="H40" s="18">
        <f t="shared" si="5"/>
        <v>0</v>
      </c>
      <c r="I40" s="17">
        <f t="shared" ref="I40:I42" si="6">SUM(D40:G40)</f>
        <v>3701</v>
      </c>
      <c r="J40" s="17">
        <v>147</v>
      </c>
      <c r="K40" s="17">
        <v>54</v>
      </c>
      <c r="L40" s="17">
        <v>106</v>
      </c>
      <c r="M40" s="18">
        <f t="shared" ref="M40" si="7">((I40+I40)*3+K40*2+L40*1)*C40</f>
        <v>0</v>
      </c>
      <c r="N40" s="17">
        <f t="shared" ref="N40:N42" si="8">SUM(I40:L40)</f>
        <v>4008</v>
      </c>
      <c r="O40" s="17">
        <v>22</v>
      </c>
      <c r="P40" s="17">
        <v>0</v>
      </c>
      <c r="Q40" s="17">
        <f>1-1</f>
        <v>0</v>
      </c>
      <c r="R40" s="18">
        <f t="shared" ref="R40:R42" si="9">((N40+O40)*3+P40*2+Q40*1)*C40</f>
        <v>0</v>
      </c>
      <c r="S40" s="17">
        <f t="shared" ref="S40:S42" si="10">SUM(N40:Q40)</f>
        <v>4030</v>
      </c>
      <c r="T40" s="17">
        <f>8-219</f>
        <v>-211</v>
      </c>
      <c r="U40" s="17">
        <v>509</v>
      </c>
      <c r="V40" s="17">
        <f>10-10</f>
        <v>0</v>
      </c>
      <c r="W40" s="18">
        <f t="shared" ref="W40:W42" si="11">((S40+T40)*3+U40*2+V40*1)*C40</f>
        <v>0</v>
      </c>
    </row>
    <row r="41" spans="1:25" x14ac:dyDescent="0.2">
      <c r="A41" s="13">
        <v>3</v>
      </c>
      <c r="B41" s="14" t="s">
        <v>27</v>
      </c>
      <c r="C41" s="15"/>
      <c r="D41" s="17">
        <v>497</v>
      </c>
      <c r="E41" s="17">
        <v>5</v>
      </c>
      <c r="F41" s="17">
        <v>1</v>
      </c>
      <c r="G41" s="17">
        <f>9-2</f>
        <v>7</v>
      </c>
      <c r="H41" s="18">
        <f t="shared" si="5"/>
        <v>0</v>
      </c>
      <c r="I41" s="17">
        <f t="shared" si="6"/>
        <v>510</v>
      </c>
      <c r="J41" s="17">
        <v>48</v>
      </c>
      <c r="K41" s="17">
        <v>14</v>
      </c>
      <c r="L41" s="17">
        <v>14</v>
      </c>
      <c r="M41" s="18">
        <f>((I41+I41)*3+K41*2+L41*1)*C41</f>
        <v>0</v>
      </c>
      <c r="N41" s="17">
        <f t="shared" si="8"/>
        <v>586</v>
      </c>
      <c r="O41" s="17">
        <f>3-4</f>
        <v>-1</v>
      </c>
      <c r="P41" s="17">
        <v>0</v>
      </c>
      <c r="Q41" s="17">
        <v>6</v>
      </c>
      <c r="R41" s="18">
        <f t="shared" si="9"/>
        <v>0</v>
      </c>
      <c r="S41" s="17">
        <f t="shared" si="10"/>
        <v>591</v>
      </c>
      <c r="T41" s="17">
        <f>41-1</f>
        <v>40</v>
      </c>
      <c r="U41" s="17">
        <v>57</v>
      </c>
      <c r="V41" s="17">
        <f>3-60</f>
        <v>-57</v>
      </c>
      <c r="W41" s="18">
        <f t="shared" si="11"/>
        <v>0</v>
      </c>
    </row>
    <row r="42" spans="1:25" x14ac:dyDescent="0.2">
      <c r="A42" s="13">
        <v>4</v>
      </c>
      <c r="B42" s="14" t="s">
        <v>28</v>
      </c>
      <c r="C42" s="15"/>
      <c r="D42" s="17">
        <v>742</v>
      </c>
      <c r="E42" s="17">
        <f>5-66</f>
        <v>-61</v>
      </c>
      <c r="F42" s="17">
        <v>0</v>
      </c>
      <c r="G42" s="17">
        <v>35</v>
      </c>
      <c r="H42" s="18">
        <f t="shared" si="5"/>
        <v>0</v>
      </c>
      <c r="I42" s="17">
        <f t="shared" si="6"/>
        <v>716</v>
      </c>
      <c r="J42" s="17">
        <f>10-1</f>
        <v>9</v>
      </c>
      <c r="K42" s="17">
        <v>0</v>
      </c>
      <c r="L42" s="17">
        <v>0</v>
      </c>
      <c r="M42" s="18">
        <f>((I42+I42)*3+K42*2+L42*1)*C42</f>
        <v>0</v>
      </c>
      <c r="N42" s="17">
        <f t="shared" si="8"/>
        <v>725</v>
      </c>
      <c r="O42" s="17">
        <v>0</v>
      </c>
      <c r="P42" s="17">
        <v>0</v>
      </c>
      <c r="Q42" s="17">
        <f>1-47</f>
        <v>-46</v>
      </c>
      <c r="R42" s="18">
        <f t="shared" si="9"/>
        <v>0</v>
      </c>
      <c r="S42" s="17">
        <f t="shared" si="10"/>
        <v>679</v>
      </c>
      <c r="T42" s="17">
        <v>0</v>
      </c>
      <c r="U42" s="17">
        <v>25</v>
      </c>
      <c r="V42" s="17">
        <v>201</v>
      </c>
      <c r="W42" s="18">
        <f t="shared" si="11"/>
        <v>0</v>
      </c>
    </row>
    <row r="43" spans="1:25" x14ac:dyDescent="0.2">
      <c r="A43" s="13"/>
      <c r="B43" s="19" t="s">
        <v>29</v>
      </c>
      <c r="C43" s="15"/>
      <c r="D43" s="17"/>
      <c r="E43" s="76"/>
      <c r="F43" s="77"/>
      <c r="G43" s="78"/>
      <c r="H43" s="20">
        <f>SUM(H39:H42)</f>
        <v>0</v>
      </c>
      <c r="I43" s="76"/>
      <c r="J43" s="77"/>
      <c r="K43" s="77"/>
      <c r="L43" s="78"/>
      <c r="M43" s="20">
        <f>SUM(M39:M42)</f>
        <v>0</v>
      </c>
      <c r="N43" s="76"/>
      <c r="O43" s="77"/>
      <c r="P43" s="77"/>
      <c r="Q43" s="78"/>
      <c r="R43" s="20">
        <f>SUM(R39:R42)</f>
        <v>0</v>
      </c>
      <c r="S43" s="76"/>
      <c r="T43" s="77"/>
      <c r="U43" s="77"/>
      <c r="V43" s="78"/>
      <c r="W43" s="20">
        <f>SUM(W39:W42)</f>
        <v>0</v>
      </c>
    </row>
    <row r="44" spans="1:25" x14ac:dyDescent="0.2">
      <c r="A44" s="13"/>
      <c r="B44" s="31"/>
      <c r="C44" s="32"/>
      <c r="D44" s="17"/>
      <c r="E44" s="33"/>
      <c r="F44" s="34"/>
      <c r="G44" s="35"/>
      <c r="H44" s="18"/>
      <c r="I44" s="33"/>
      <c r="J44" s="34"/>
      <c r="K44" s="34"/>
      <c r="L44" s="35"/>
      <c r="M44" s="18"/>
      <c r="N44" s="33"/>
      <c r="O44" s="34"/>
      <c r="P44" s="34"/>
      <c r="Q44" s="35"/>
      <c r="R44" s="18"/>
      <c r="S44" s="33"/>
      <c r="T44" s="34"/>
      <c r="U44" s="34"/>
      <c r="V44" s="35"/>
      <c r="W44" s="18"/>
    </row>
    <row r="45" spans="1:25" x14ac:dyDescent="0.2">
      <c r="A45" s="13"/>
      <c r="B45" s="71" t="s">
        <v>30</v>
      </c>
      <c r="C45" s="71"/>
      <c r="D45" s="11" t="s">
        <v>31</v>
      </c>
      <c r="E45" s="95"/>
      <c r="F45" s="96"/>
      <c r="G45" s="97"/>
      <c r="H45" s="17"/>
      <c r="I45" s="95"/>
      <c r="J45" s="96"/>
      <c r="K45" s="96"/>
      <c r="L45" s="97"/>
      <c r="M45" s="17"/>
      <c r="N45" s="95"/>
      <c r="O45" s="96"/>
      <c r="P45" s="96"/>
      <c r="Q45" s="97"/>
      <c r="R45" s="17"/>
      <c r="S45" s="95"/>
      <c r="T45" s="96"/>
      <c r="U45" s="96"/>
      <c r="V45" s="97"/>
      <c r="W45" s="17"/>
    </row>
    <row r="46" spans="1:25" x14ac:dyDescent="0.2">
      <c r="A46" s="13">
        <v>5</v>
      </c>
      <c r="B46" s="12" t="s">
        <v>32</v>
      </c>
      <c r="C46" s="61"/>
      <c r="D46" s="21">
        <v>1</v>
      </c>
      <c r="E46" s="98"/>
      <c r="F46" s="99"/>
      <c r="G46" s="100"/>
      <c r="H46" s="22">
        <f>C46*D46*3</f>
        <v>0</v>
      </c>
      <c r="I46" s="98"/>
      <c r="J46" s="99"/>
      <c r="K46" s="99"/>
      <c r="L46" s="100"/>
      <c r="M46" s="18">
        <f>C46*D46*3</f>
        <v>0</v>
      </c>
      <c r="N46" s="98"/>
      <c r="O46" s="99"/>
      <c r="P46" s="99"/>
      <c r="Q46" s="100"/>
      <c r="R46" s="18">
        <f>C46*D46*3</f>
        <v>0</v>
      </c>
      <c r="S46" s="98"/>
      <c r="T46" s="99"/>
      <c r="U46" s="99"/>
      <c r="V46" s="100"/>
      <c r="W46" s="18">
        <f t="shared" ref="W46:W52" si="12">C46*D46*3</f>
        <v>0</v>
      </c>
    </row>
    <row r="47" spans="1:25" x14ac:dyDescent="0.2">
      <c r="A47" s="13">
        <v>6</v>
      </c>
      <c r="B47" s="12" t="s">
        <v>33</v>
      </c>
      <c r="C47" s="61"/>
      <c r="D47" s="21">
        <v>2</v>
      </c>
      <c r="E47" s="98"/>
      <c r="F47" s="99"/>
      <c r="G47" s="100"/>
      <c r="H47" s="22">
        <f t="shared" ref="H47:H52" si="13">C47*D47*3</f>
        <v>0</v>
      </c>
      <c r="I47" s="98"/>
      <c r="J47" s="99"/>
      <c r="K47" s="99"/>
      <c r="L47" s="100"/>
      <c r="M47" s="18">
        <f t="shared" ref="M47:M52" si="14">C47*D47*3</f>
        <v>0</v>
      </c>
      <c r="N47" s="98"/>
      <c r="O47" s="99"/>
      <c r="P47" s="99"/>
      <c r="Q47" s="100"/>
      <c r="R47" s="18">
        <f t="shared" ref="R47:R52" si="15">C47*D47*3</f>
        <v>0</v>
      </c>
      <c r="S47" s="98"/>
      <c r="T47" s="99"/>
      <c r="U47" s="99"/>
      <c r="V47" s="100"/>
      <c r="W47" s="18">
        <f t="shared" si="12"/>
        <v>0</v>
      </c>
    </row>
    <row r="48" spans="1:25" x14ac:dyDescent="0.2">
      <c r="A48" s="13">
        <v>7</v>
      </c>
      <c r="B48" s="12" t="s">
        <v>34</v>
      </c>
      <c r="C48" s="61"/>
      <c r="D48" s="17">
        <v>2</v>
      </c>
      <c r="E48" s="98"/>
      <c r="F48" s="99"/>
      <c r="G48" s="100"/>
      <c r="H48" s="22">
        <f t="shared" si="13"/>
        <v>0</v>
      </c>
      <c r="I48" s="98"/>
      <c r="J48" s="99"/>
      <c r="K48" s="99"/>
      <c r="L48" s="100"/>
      <c r="M48" s="18">
        <f t="shared" si="14"/>
        <v>0</v>
      </c>
      <c r="N48" s="98"/>
      <c r="O48" s="99"/>
      <c r="P48" s="99"/>
      <c r="Q48" s="100"/>
      <c r="R48" s="18">
        <f t="shared" si="15"/>
        <v>0</v>
      </c>
      <c r="S48" s="98"/>
      <c r="T48" s="99"/>
      <c r="U48" s="99"/>
      <c r="V48" s="100"/>
      <c r="W48" s="18">
        <f t="shared" si="12"/>
        <v>0</v>
      </c>
    </row>
    <row r="49" spans="1:23" x14ac:dyDescent="0.2">
      <c r="A49" s="13">
        <v>8</v>
      </c>
      <c r="B49" s="12" t="s">
        <v>35</v>
      </c>
      <c r="C49" s="61"/>
      <c r="D49" s="17">
        <v>1</v>
      </c>
      <c r="E49" s="98"/>
      <c r="F49" s="99"/>
      <c r="G49" s="100"/>
      <c r="H49" s="22">
        <f t="shared" si="13"/>
        <v>0</v>
      </c>
      <c r="I49" s="98"/>
      <c r="J49" s="99"/>
      <c r="K49" s="99"/>
      <c r="L49" s="100"/>
      <c r="M49" s="18">
        <f t="shared" si="14"/>
        <v>0</v>
      </c>
      <c r="N49" s="98"/>
      <c r="O49" s="99"/>
      <c r="P49" s="99"/>
      <c r="Q49" s="100"/>
      <c r="R49" s="18">
        <f t="shared" si="15"/>
        <v>0</v>
      </c>
      <c r="S49" s="98"/>
      <c r="T49" s="99"/>
      <c r="U49" s="99"/>
      <c r="V49" s="100"/>
      <c r="W49" s="18">
        <f t="shared" si="12"/>
        <v>0</v>
      </c>
    </row>
    <row r="50" spans="1:23" ht="24" x14ac:dyDescent="0.2">
      <c r="A50" s="13">
        <v>9</v>
      </c>
      <c r="B50" s="12" t="s">
        <v>36</v>
      </c>
      <c r="C50" s="61"/>
      <c r="D50" s="17">
        <v>1</v>
      </c>
      <c r="E50" s="98"/>
      <c r="F50" s="99"/>
      <c r="G50" s="100"/>
      <c r="H50" s="22">
        <f t="shared" si="13"/>
        <v>0</v>
      </c>
      <c r="I50" s="98"/>
      <c r="J50" s="99"/>
      <c r="K50" s="99"/>
      <c r="L50" s="100"/>
      <c r="M50" s="18">
        <f t="shared" si="14"/>
        <v>0</v>
      </c>
      <c r="N50" s="98"/>
      <c r="O50" s="99"/>
      <c r="P50" s="99"/>
      <c r="Q50" s="100"/>
      <c r="R50" s="18">
        <f t="shared" si="15"/>
        <v>0</v>
      </c>
      <c r="S50" s="98"/>
      <c r="T50" s="99"/>
      <c r="U50" s="99"/>
      <c r="V50" s="100"/>
      <c r="W50" s="18">
        <f t="shared" si="12"/>
        <v>0</v>
      </c>
    </row>
    <row r="51" spans="1:23" ht="24" x14ac:dyDescent="0.2">
      <c r="A51" s="13">
        <v>10</v>
      </c>
      <c r="B51" s="12" t="s">
        <v>37</v>
      </c>
      <c r="C51" s="61"/>
      <c r="D51" s="17">
        <v>30</v>
      </c>
      <c r="E51" s="98"/>
      <c r="F51" s="99"/>
      <c r="G51" s="100"/>
      <c r="H51" s="22">
        <f t="shared" si="13"/>
        <v>0</v>
      </c>
      <c r="I51" s="98"/>
      <c r="J51" s="99"/>
      <c r="K51" s="99"/>
      <c r="L51" s="100"/>
      <c r="M51" s="18">
        <f t="shared" si="14"/>
        <v>0</v>
      </c>
      <c r="N51" s="98"/>
      <c r="O51" s="99"/>
      <c r="P51" s="99"/>
      <c r="Q51" s="100"/>
      <c r="R51" s="18">
        <f t="shared" si="15"/>
        <v>0</v>
      </c>
      <c r="S51" s="98"/>
      <c r="T51" s="99"/>
      <c r="U51" s="99"/>
      <c r="V51" s="100"/>
      <c r="W51" s="18">
        <f t="shared" si="12"/>
        <v>0</v>
      </c>
    </row>
    <row r="52" spans="1:23" ht="21.75" customHeight="1" x14ac:dyDescent="0.2">
      <c r="A52" s="13"/>
      <c r="B52" s="14" t="s">
        <v>88</v>
      </c>
      <c r="C52" s="61"/>
      <c r="D52" s="17">
        <v>4</v>
      </c>
      <c r="E52" s="67"/>
      <c r="F52" s="68"/>
      <c r="G52" s="69"/>
      <c r="H52" s="22">
        <f t="shared" si="13"/>
        <v>0</v>
      </c>
      <c r="I52" s="67"/>
      <c r="J52" s="68"/>
      <c r="K52" s="68"/>
      <c r="L52" s="69"/>
      <c r="M52" s="18">
        <f t="shared" si="14"/>
        <v>0</v>
      </c>
      <c r="N52" s="67"/>
      <c r="O52" s="68"/>
      <c r="P52" s="68"/>
      <c r="Q52" s="69"/>
      <c r="R52" s="18">
        <f t="shared" si="15"/>
        <v>0</v>
      </c>
      <c r="S52" s="67"/>
      <c r="T52" s="68"/>
      <c r="U52" s="68"/>
      <c r="V52" s="69"/>
      <c r="W52" s="18">
        <f t="shared" si="12"/>
        <v>0</v>
      </c>
    </row>
    <row r="53" spans="1:23" ht="24" x14ac:dyDescent="0.2">
      <c r="A53" s="13"/>
      <c r="B53" s="19" t="s">
        <v>38</v>
      </c>
      <c r="C53" s="12"/>
      <c r="D53" s="12"/>
      <c r="E53" s="17"/>
      <c r="F53" s="17"/>
      <c r="G53" s="17"/>
      <c r="H53" s="20">
        <f>SUM(H46:H52)</f>
        <v>0</v>
      </c>
      <c r="I53" s="17"/>
      <c r="J53" s="17"/>
      <c r="K53" s="17"/>
      <c r="L53" s="17"/>
      <c r="M53" s="20">
        <f>SUM(M46:M52)</f>
        <v>0</v>
      </c>
      <c r="N53" s="17"/>
      <c r="O53" s="17"/>
      <c r="P53" s="17"/>
      <c r="Q53" s="17"/>
      <c r="R53" s="20">
        <f>SUM(R46:R52)</f>
        <v>0</v>
      </c>
      <c r="S53" s="17"/>
      <c r="T53" s="17"/>
      <c r="U53" s="17"/>
      <c r="V53" s="17"/>
      <c r="W53" s="20">
        <f>SUM(W46:W52)</f>
        <v>0</v>
      </c>
    </row>
    <row r="54" spans="1:23" x14ac:dyDescent="0.2">
      <c r="A54" s="13"/>
      <c r="B54" s="23"/>
      <c r="C54" s="12"/>
      <c r="D54" s="12"/>
      <c r="E54" s="17"/>
      <c r="F54" s="17"/>
      <c r="G54" s="17"/>
      <c r="H54" s="17"/>
      <c r="I54" s="17"/>
      <c r="J54" s="17"/>
      <c r="K54" s="17"/>
      <c r="L54" s="17"/>
      <c r="M54" s="17"/>
      <c r="N54" s="17"/>
      <c r="O54" s="17"/>
      <c r="P54" s="17"/>
      <c r="Q54" s="17"/>
      <c r="R54" s="17"/>
      <c r="S54" s="17"/>
      <c r="T54" s="17"/>
      <c r="U54" s="17"/>
      <c r="V54" s="17"/>
      <c r="W54" s="17"/>
    </row>
    <row r="55" spans="1:23" x14ac:dyDescent="0.2">
      <c r="A55" s="4"/>
      <c r="B55" s="91" t="s">
        <v>45</v>
      </c>
      <c r="C55" s="92"/>
      <c r="D55" s="92"/>
      <c r="E55" s="92"/>
      <c r="F55" s="92"/>
      <c r="G55" s="92"/>
      <c r="H55" s="92"/>
      <c r="I55" s="92"/>
      <c r="J55" s="92"/>
      <c r="K55" s="92"/>
      <c r="L55" s="92"/>
      <c r="M55" s="92"/>
      <c r="N55" s="92"/>
      <c r="O55" s="92"/>
      <c r="P55" s="92"/>
      <c r="Q55" s="92"/>
      <c r="R55" s="92"/>
      <c r="S55" s="92"/>
      <c r="T55" s="92"/>
      <c r="U55" s="92"/>
      <c r="V55" s="92"/>
      <c r="W55" s="94"/>
    </row>
    <row r="56" spans="1:23" x14ac:dyDescent="0.2">
      <c r="A56" s="4"/>
      <c r="B56" s="5"/>
      <c r="C56" s="5"/>
      <c r="D56" s="5"/>
      <c r="E56" s="72" t="s">
        <v>1</v>
      </c>
      <c r="F56" s="73"/>
      <c r="G56" s="74"/>
      <c r="H56" s="5"/>
      <c r="I56" s="5"/>
      <c r="J56" s="75" t="s">
        <v>2</v>
      </c>
      <c r="K56" s="75"/>
      <c r="L56" s="75"/>
      <c r="M56" s="5"/>
      <c r="N56" s="5"/>
      <c r="O56" s="75" t="s">
        <v>3</v>
      </c>
      <c r="P56" s="75"/>
      <c r="Q56" s="75"/>
      <c r="R56" s="5"/>
      <c r="S56" s="5"/>
      <c r="T56" s="75" t="s">
        <v>4</v>
      </c>
      <c r="U56" s="75"/>
      <c r="V56" s="75"/>
      <c r="W56" s="5"/>
    </row>
    <row r="57" spans="1:23" ht="24" x14ac:dyDescent="0.2">
      <c r="A57" s="13"/>
      <c r="B57" s="23"/>
      <c r="C57" s="10" t="s">
        <v>7</v>
      </c>
      <c r="D57" s="93"/>
      <c r="E57" s="7">
        <v>46113</v>
      </c>
      <c r="F57" s="7">
        <v>46143</v>
      </c>
      <c r="G57" s="7">
        <v>46174</v>
      </c>
      <c r="H57" s="12" t="s">
        <v>12</v>
      </c>
      <c r="I57" s="1"/>
      <c r="J57" s="7">
        <v>46204</v>
      </c>
      <c r="K57" s="7">
        <v>46235</v>
      </c>
      <c r="L57" s="7">
        <v>46266</v>
      </c>
      <c r="M57" s="12" t="s">
        <v>12</v>
      </c>
      <c r="N57" s="17"/>
      <c r="O57" s="7">
        <v>46296</v>
      </c>
      <c r="P57" s="7">
        <v>46327</v>
      </c>
      <c r="Q57" s="7">
        <v>46357</v>
      </c>
      <c r="R57" s="12" t="s">
        <v>12</v>
      </c>
      <c r="S57" s="12"/>
      <c r="T57" s="7">
        <v>46388</v>
      </c>
      <c r="U57" s="7">
        <v>46419</v>
      </c>
      <c r="V57" s="7">
        <v>46447</v>
      </c>
      <c r="W57" s="12" t="s">
        <v>12</v>
      </c>
    </row>
    <row r="58" spans="1:23" x14ac:dyDescent="0.2">
      <c r="A58" s="13">
        <v>11</v>
      </c>
      <c r="B58" s="12" t="s">
        <v>40</v>
      </c>
      <c r="C58" s="12"/>
      <c r="D58" s="93"/>
      <c r="E58" s="17">
        <f>1996-320</f>
        <v>1676</v>
      </c>
      <c r="F58" s="17">
        <f>1901-95</f>
        <v>1806</v>
      </c>
      <c r="G58" s="17">
        <f>1889-12</f>
        <v>1877</v>
      </c>
      <c r="H58" s="62">
        <f t="shared" ref="H58:H59" si="16">(E58+F58+G58)*C58</f>
        <v>0</v>
      </c>
      <c r="I58" s="17"/>
      <c r="J58" s="17">
        <f>1846-43</f>
        <v>1803</v>
      </c>
      <c r="K58" s="17">
        <f>1810-36</f>
        <v>1774</v>
      </c>
      <c r="L58" s="17">
        <f>1786-24</f>
        <v>1762</v>
      </c>
      <c r="M58" s="62">
        <f>(J58+K58+L58)*C58</f>
        <v>0</v>
      </c>
      <c r="N58" s="17"/>
      <c r="O58" s="17">
        <f>1769-17</f>
        <v>1752</v>
      </c>
      <c r="P58" s="17">
        <f>1767-2+2</f>
        <v>1767</v>
      </c>
      <c r="Q58" s="17">
        <f>1769+1-1</f>
        <v>1769</v>
      </c>
      <c r="R58" s="62">
        <f>(O58+P58+Q58)*C58</f>
        <v>0</v>
      </c>
      <c r="S58" s="17"/>
      <c r="T58" s="17">
        <f>1723-46+2</f>
        <v>1679</v>
      </c>
      <c r="U58" s="17">
        <f>1540-185</f>
        <v>1355</v>
      </c>
      <c r="V58" s="17">
        <f>1441-99+151</f>
        <v>1493</v>
      </c>
      <c r="W58" s="62">
        <f>(T58+U58+V58)*C58</f>
        <v>0</v>
      </c>
    </row>
    <row r="59" spans="1:23" x14ac:dyDescent="0.2">
      <c r="A59" s="13">
        <v>12</v>
      </c>
      <c r="B59" s="14" t="s">
        <v>41</v>
      </c>
      <c r="C59" s="12"/>
      <c r="D59" s="93"/>
      <c r="E59" s="17">
        <f>7458-54</f>
        <v>7404</v>
      </c>
      <c r="F59" s="17">
        <f>7237-131</f>
        <v>7106</v>
      </c>
      <c r="G59" s="17">
        <f>7254-73</f>
        <v>7181</v>
      </c>
      <c r="H59" s="62">
        <f t="shared" si="16"/>
        <v>0</v>
      </c>
      <c r="I59" s="17"/>
      <c r="J59" s="17">
        <f>7107-147</f>
        <v>6960</v>
      </c>
      <c r="K59" s="17">
        <f>7053-54</f>
        <v>6999</v>
      </c>
      <c r="L59" s="17">
        <f>6949-106</f>
        <v>6843</v>
      </c>
      <c r="M59" s="62">
        <f>(J59+K59+L59)*C59</f>
        <v>0</v>
      </c>
      <c r="N59" s="17"/>
      <c r="O59" s="17">
        <f>6927 - 22</f>
        <v>6905</v>
      </c>
      <c r="P59" s="17">
        <f>6927</f>
        <v>6927</v>
      </c>
      <c r="Q59" s="17">
        <f>6926-1</f>
        <v>6925</v>
      </c>
      <c r="R59" s="62">
        <f>(O59+P59+Q59)*C59</f>
        <v>0</v>
      </c>
      <c r="S59" s="17"/>
      <c r="T59" s="17">
        <f>6919-8+219</f>
        <v>7130</v>
      </c>
      <c r="U59" s="17">
        <f>6629-509</f>
        <v>6120</v>
      </c>
      <c r="V59" s="17">
        <f>6656-10+10</f>
        <v>6656</v>
      </c>
      <c r="W59" s="62">
        <f>(T59+U59+V59)*C59</f>
        <v>0</v>
      </c>
    </row>
    <row r="60" spans="1:23" ht="24" x14ac:dyDescent="0.2">
      <c r="A60" s="13"/>
      <c r="B60" s="24" t="s">
        <v>42</v>
      </c>
      <c r="C60" s="12"/>
      <c r="D60" s="93"/>
      <c r="E60" s="76"/>
      <c r="F60" s="77"/>
      <c r="G60" s="78"/>
      <c r="H60" s="63">
        <f>SUM(H58:H59)</f>
        <v>0</v>
      </c>
      <c r="I60" s="76"/>
      <c r="J60" s="77"/>
      <c r="K60" s="77"/>
      <c r="L60" s="78"/>
      <c r="M60" s="20">
        <f>SUM(M58:M59)</f>
        <v>0</v>
      </c>
      <c r="N60" s="76"/>
      <c r="O60" s="77"/>
      <c r="P60" s="77"/>
      <c r="Q60" s="78"/>
      <c r="R60" s="20">
        <f>SUM(R58:R59)</f>
        <v>0</v>
      </c>
      <c r="S60" s="76"/>
      <c r="T60" s="77"/>
      <c r="U60" s="77"/>
      <c r="V60" s="78"/>
      <c r="W60" s="20">
        <f>SUM(W58:W59)</f>
        <v>0</v>
      </c>
    </row>
    <row r="61" spans="1:23" x14ac:dyDescent="0.2">
      <c r="A61" s="88" t="s">
        <v>43</v>
      </c>
      <c r="B61" s="89"/>
      <c r="C61" s="89"/>
      <c r="D61" s="89"/>
      <c r="E61" s="89"/>
      <c r="F61" s="89"/>
      <c r="G61" s="90"/>
      <c r="H61" s="26">
        <f>H43+H53+H60</f>
        <v>0</v>
      </c>
      <c r="I61" s="12"/>
      <c r="J61" s="12"/>
      <c r="K61" s="12"/>
      <c r="L61" s="12"/>
      <c r="M61" s="26">
        <f>M43+M53+M60</f>
        <v>0</v>
      </c>
      <c r="N61" s="12"/>
      <c r="O61" s="12"/>
      <c r="P61" s="12"/>
      <c r="Q61" s="12"/>
      <c r="R61" s="26">
        <f>R43+R53+R60</f>
        <v>0</v>
      </c>
      <c r="S61" s="12"/>
      <c r="T61" s="12"/>
      <c r="U61" s="12"/>
      <c r="V61" s="12"/>
      <c r="W61" s="26">
        <f>W43+W53+W60</f>
        <v>0</v>
      </c>
    </row>
    <row r="62" spans="1:23" x14ac:dyDescent="0.2">
      <c r="A62" s="13"/>
      <c r="B62" s="36"/>
      <c r="C62" s="36"/>
      <c r="D62" s="36"/>
      <c r="E62" s="37"/>
      <c r="F62" s="37"/>
      <c r="G62" s="37"/>
      <c r="H62" s="37"/>
      <c r="I62" s="37"/>
      <c r="J62" s="37"/>
      <c r="K62" s="37"/>
      <c r="L62" s="37"/>
      <c r="M62" s="37"/>
      <c r="N62" s="37"/>
      <c r="O62" s="37"/>
      <c r="P62" s="37"/>
      <c r="Q62" s="37"/>
      <c r="R62" s="37"/>
      <c r="S62" s="37"/>
      <c r="T62" s="37"/>
      <c r="U62" s="37"/>
      <c r="V62" s="37"/>
      <c r="W62" s="37"/>
    </row>
    <row r="63" spans="1:23" x14ac:dyDescent="0.2">
      <c r="A63" s="13"/>
      <c r="B63" s="36"/>
      <c r="C63" s="36"/>
      <c r="D63" s="36"/>
      <c r="E63" s="37"/>
      <c r="F63" s="37"/>
      <c r="G63" s="37"/>
      <c r="H63" s="37"/>
      <c r="I63" s="37"/>
      <c r="J63" s="37"/>
      <c r="K63" s="37"/>
      <c r="L63" s="37"/>
      <c r="M63" s="37"/>
      <c r="N63" s="37"/>
      <c r="O63" s="37"/>
      <c r="P63" s="37"/>
      <c r="Q63" s="37"/>
      <c r="R63" s="37"/>
      <c r="S63" s="37"/>
      <c r="T63" s="37"/>
      <c r="U63" s="37"/>
      <c r="V63" s="37"/>
      <c r="W63" s="37"/>
    </row>
    <row r="64" spans="1:23" x14ac:dyDescent="0.2">
      <c r="A64" s="27"/>
      <c r="B64" s="38"/>
      <c r="C64" s="38"/>
      <c r="D64" s="38"/>
      <c r="E64" s="39"/>
      <c r="F64" s="39"/>
      <c r="G64" s="39"/>
      <c r="H64" s="39"/>
      <c r="I64" s="39"/>
      <c r="J64" s="39"/>
      <c r="K64" s="39"/>
      <c r="L64" s="39"/>
      <c r="M64" s="39"/>
      <c r="N64" s="39"/>
      <c r="O64" s="39"/>
      <c r="P64" s="39"/>
      <c r="Q64" s="39"/>
      <c r="R64" s="39"/>
      <c r="S64" s="39"/>
      <c r="T64" s="39"/>
      <c r="U64" s="39"/>
      <c r="V64" s="39"/>
      <c r="W64" s="39"/>
    </row>
    <row r="65" spans="1:25" x14ac:dyDescent="0.2">
      <c r="A65" s="13"/>
      <c r="B65" s="36"/>
      <c r="C65" s="36"/>
      <c r="D65" s="36"/>
      <c r="E65" s="37"/>
      <c r="F65" s="37"/>
      <c r="G65" s="37"/>
      <c r="H65" s="37"/>
      <c r="I65" s="37"/>
      <c r="J65" s="37"/>
      <c r="K65" s="37"/>
      <c r="L65" s="37"/>
      <c r="M65" s="37"/>
      <c r="N65" s="37"/>
      <c r="O65" s="37"/>
      <c r="P65" s="37"/>
      <c r="Q65" s="37"/>
      <c r="R65" s="37"/>
      <c r="S65" s="37"/>
      <c r="T65" s="37"/>
      <c r="U65" s="37"/>
      <c r="V65" s="37"/>
      <c r="W65" s="37"/>
    </row>
    <row r="66" spans="1:25" s="4" customFormat="1" x14ac:dyDescent="0.2">
      <c r="A66" s="13"/>
      <c r="B66" s="91" t="s">
        <v>46</v>
      </c>
      <c r="C66" s="92"/>
      <c r="D66" s="92"/>
      <c r="E66" s="92"/>
      <c r="F66" s="92"/>
      <c r="G66" s="92"/>
      <c r="H66" s="92"/>
      <c r="I66" s="92"/>
      <c r="J66" s="92"/>
      <c r="K66" s="92"/>
      <c r="L66" s="92"/>
      <c r="M66" s="92"/>
      <c r="N66" s="92"/>
      <c r="O66" s="92"/>
      <c r="P66" s="92"/>
      <c r="Q66" s="92"/>
      <c r="R66" s="92"/>
      <c r="S66" s="92"/>
      <c r="T66" s="92"/>
      <c r="U66" s="92"/>
      <c r="V66" s="92"/>
      <c r="W66" s="92"/>
      <c r="Y66" s="3"/>
    </row>
    <row r="67" spans="1:25" s="4" customFormat="1" x14ac:dyDescent="0.2">
      <c r="A67" s="13"/>
      <c r="B67" s="5"/>
      <c r="C67" s="5"/>
      <c r="D67" s="5"/>
      <c r="E67" s="72" t="s">
        <v>1</v>
      </c>
      <c r="F67" s="73"/>
      <c r="G67" s="74"/>
      <c r="H67" s="5"/>
      <c r="I67" s="5"/>
      <c r="J67" s="72" t="s">
        <v>2</v>
      </c>
      <c r="K67" s="73"/>
      <c r="L67" s="74"/>
      <c r="M67" s="5"/>
      <c r="N67" s="5"/>
      <c r="O67" s="72" t="s">
        <v>3</v>
      </c>
      <c r="P67" s="73"/>
      <c r="Q67" s="74"/>
      <c r="R67" s="5"/>
      <c r="S67" s="5"/>
      <c r="T67" s="72" t="s">
        <v>4</v>
      </c>
      <c r="U67" s="73"/>
      <c r="V67" s="74"/>
      <c r="W67" s="5"/>
      <c r="Y67" s="3"/>
    </row>
    <row r="68" spans="1:25" x14ac:dyDescent="0.2">
      <c r="A68" s="13"/>
      <c r="B68" s="6"/>
      <c r="C68" s="6"/>
      <c r="D68" s="6"/>
      <c r="E68" s="7">
        <v>46478</v>
      </c>
      <c r="F68" s="7">
        <v>46508</v>
      </c>
      <c r="G68" s="7">
        <v>46539</v>
      </c>
      <c r="H68" s="8"/>
      <c r="I68" s="5"/>
      <c r="J68" s="7">
        <v>46569</v>
      </c>
      <c r="K68" s="7">
        <v>46600</v>
      </c>
      <c r="L68" s="7">
        <v>46631</v>
      </c>
      <c r="M68" s="8"/>
      <c r="N68" s="5"/>
      <c r="O68" s="7">
        <v>46661</v>
      </c>
      <c r="P68" s="7">
        <v>46692</v>
      </c>
      <c r="Q68" s="7">
        <v>46722</v>
      </c>
      <c r="R68" s="8"/>
      <c r="S68" s="5"/>
      <c r="T68" s="7">
        <v>46753</v>
      </c>
      <c r="U68" s="7">
        <v>46784</v>
      </c>
      <c r="V68" s="7">
        <v>46813</v>
      </c>
      <c r="W68" s="6"/>
    </row>
    <row r="69" spans="1:25" ht="36" x14ac:dyDescent="0.2">
      <c r="A69" s="13"/>
      <c r="B69" s="9" t="s">
        <v>6</v>
      </c>
      <c r="C69" s="10" t="s">
        <v>7</v>
      </c>
      <c r="D69" s="10" t="s">
        <v>47</v>
      </c>
      <c r="E69" s="10" t="s">
        <v>9</v>
      </c>
      <c r="F69" s="10" t="s">
        <v>10</v>
      </c>
      <c r="G69" s="10" t="s">
        <v>11</v>
      </c>
      <c r="H69" s="10" t="s">
        <v>12</v>
      </c>
      <c r="I69" s="10" t="s">
        <v>13</v>
      </c>
      <c r="J69" s="10" t="s">
        <v>14</v>
      </c>
      <c r="K69" s="10" t="s">
        <v>15</v>
      </c>
      <c r="L69" s="10" t="s">
        <v>16</v>
      </c>
      <c r="M69" s="10" t="s">
        <v>12</v>
      </c>
      <c r="N69" s="10" t="s">
        <v>13</v>
      </c>
      <c r="O69" s="10" t="s">
        <v>17</v>
      </c>
      <c r="P69" s="10" t="s">
        <v>18</v>
      </c>
      <c r="Q69" s="10" t="s">
        <v>19</v>
      </c>
      <c r="R69" s="10" t="s">
        <v>12</v>
      </c>
      <c r="S69" s="10" t="s">
        <v>13</v>
      </c>
      <c r="T69" s="10" t="s">
        <v>20</v>
      </c>
      <c r="U69" s="10" t="s">
        <v>21</v>
      </c>
      <c r="V69" s="10" t="s">
        <v>22</v>
      </c>
      <c r="W69" s="10" t="s">
        <v>12</v>
      </c>
    </row>
    <row r="70" spans="1:25" x14ac:dyDescent="0.2">
      <c r="A70" s="13"/>
      <c r="B70" s="92" t="s">
        <v>23</v>
      </c>
      <c r="C70" s="94"/>
      <c r="D70" s="11" t="s">
        <v>24</v>
      </c>
      <c r="E70" s="12"/>
      <c r="F70" s="12"/>
      <c r="G70" s="12"/>
      <c r="H70" s="12"/>
      <c r="I70" s="12"/>
      <c r="J70" s="12"/>
      <c r="K70" s="12"/>
      <c r="L70" s="12"/>
      <c r="M70" s="12"/>
      <c r="N70" s="17"/>
      <c r="O70" s="12"/>
      <c r="P70" s="12"/>
      <c r="Q70" s="12"/>
      <c r="R70" s="12"/>
      <c r="S70" s="12"/>
      <c r="T70" s="12"/>
      <c r="U70" s="12"/>
      <c r="V70" s="12"/>
      <c r="W70" s="12"/>
    </row>
    <row r="71" spans="1:25" x14ac:dyDescent="0.2">
      <c r="A71" s="13">
        <v>1</v>
      </c>
      <c r="B71" s="14" t="s">
        <v>25</v>
      </c>
      <c r="C71" s="15"/>
      <c r="D71" s="17">
        <v>1393</v>
      </c>
      <c r="E71" s="17">
        <v>10</v>
      </c>
      <c r="F71" s="17">
        <v>44</v>
      </c>
      <c r="G71" s="17">
        <v>0</v>
      </c>
      <c r="H71" s="18">
        <f>((E71+D71)*3+F71*2+G71*1)*C71</f>
        <v>0</v>
      </c>
      <c r="I71" s="17">
        <f>SUM(D71:G71)</f>
        <v>1447</v>
      </c>
      <c r="J71" s="17">
        <v>-30</v>
      </c>
      <c r="K71" s="17">
        <v>-64</v>
      </c>
      <c r="L71" s="17">
        <v>0</v>
      </c>
      <c r="M71" s="18">
        <f>((I71+J71)*3+K71*2+L71*1)*C71</f>
        <v>0</v>
      </c>
      <c r="N71" s="17">
        <f t="shared" ref="N71:N74" si="17">SUM(I71:L71)</f>
        <v>1353</v>
      </c>
      <c r="O71" s="17">
        <v>0</v>
      </c>
      <c r="P71" s="17">
        <v>0</v>
      </c>
      <c r="Q71" s="17">
        <v>0</v>
      </c>
      <c r="R71" s="18">
        <f>((N71+O71)*3+P71*2+Q71*1)*C71</f>
        <v>0</v>
      </c>
      <c r="S71" s="17">
        <f t="shared" ref="S71:S74" si="18">SUM(N71:Q71)</f>
        <v>1353</v>
      </c>
      <c r="T71" s="17">
        <v>0</v>
      </c>
      <c r="U71" s="17">
        <v>40</v>
      </c>
      <c r="V71" s="17">
        <v>184</v>
      </c>
      <c r="W71" s="18">
        <f>((S71+T71)*3+U71*2+V71*1)*C71</f>
        <v>0</v>
      </c>
    </row>
    <row r="72" spans="1:25" x14ac:dyDescent="0.2">
      <c r="A72" s="13">
        <v>2</v>
      </c>
      <c r="B72" s="14" t="s">
        <v>26</v>
      </c>
      <c r="C72" s="15"/>
      <c r="D72" s="17">
        <v>4328</v>
      </c>
      <c r="E72" s="17">
        <v>14</v>
      </c>
      <c r="F72" s="17">
        <v>102</v>
      </c>
      <c r="G72" s="17">
        <v>17</v>
      </c>
      <c r="H72" s="18">
        <f t="shared" ref="H72:H74" si="19">((E72+D72)*3+F72*2+G72*1)*C72</f>
        <v>0</v>
      </c>
      <c r="I72" s="17">
        <f>SUM(D72:G72)</f>
        <v>4461</v>
      </c>
      <c r="J72" s="17">
        <v>-15</v>
      </c>
      <c r="K72" s="17">
        <v>-94</v>
      </c>
      <c r="L72" s="17">
        <v>-3</v>
      </c>
      <c r="M72" s="18">
        <f t="shared" ref="M72:M74" si="20">((I72+J72)*3+K72*2+L72*1)*C72</f>
        <v>0</v>
      </c>
      <c r="N72" s="17">
        <f t="shared" si="17"/>
        <v>4349</v>
      </c>
      <c r="O72" s="17">
        <v>-23</v>
      </c>
      <c r="P72" s="17">
        <v>-2</v>
      </c>
      <c r="Q72" s="17">
        <v>-3</v>
      </c>
      <c r="R72" s="18">
        <f t="shared" ref="R72:R74" si="21">((N72+O72)*3+P72*2+Q72*1)*C72</f>
        <v>0</v>
      </c>
      <c r="S72" s="17">
        <f t="shared" si="18"/>
        <v>4321</v>
      </c>
      <c r="T72" s="17">
        <v>-404</v>
      </c>
      <c r="U72" s="17">
        <v>47</v>
      </c>
      <c r="V72" s="17">
        <v>390</v>
      </c>
      <c r="W72" s="18">
        <f t="shared" ref="W72:W74" si="22">((S72+T72)*3+U72*2+V72*1)*C72</f>
        <v>0</v>
      </c>
    </row>
    <row r="73" spans="1:25" x14ac:dyDescent="0.2">
      <c r="A73" s="13">
        <v>3</v>
      </c>
      <c r="B73" s="14" t="s">
        <v>27</v>
      </c>
      <c r="C73" s="15"/>
      <c r="D73" s="17">
        <v>631</v>
      </c>
      <c r="E73" s="17">
        <v>3</v>
      </c>
      <c r="F73" s="17">
        <v>1</v>
      </c>
      <c r="G73" s="17">
        <v>0</v>
      </c>
      <c r="H73" s="18">
        <f t="shared" si="19"/>
        <v>0</v>
      </c>
      <c r="I73" s="17">
        <f>SUM(D73:G73)</f>
        <v>635</v>
      </c>
      <c r="J73" s="17">
        <v>-1</v>
      </c>
      <c r="K73" s="17">
        <v>0</v>
      </c>
      <c r="L73" s="17">
        <v>-2</v>
      </c>
      <c r="M73" s="18">
        <f t="shared" si="20"/>
        <v>0</v>
      </c>
      <c r="N73" s="17">
        <f t="shared" si="17"/>
        <v>632</v>
      </c>
      <c r="O73" s="17">
        <v>0</v>
      </c>
      <c r="P73" s="17">
        <v>-4</v>
      </c>
      <c r="Q73" s="17">
        <v>0</v>
      </c>
      <c r="R73" s="18">
        <f t="shared" si="21"/>
        <v>0</v>
      </c>
      <c r="S73" s="17">
        <f t="shared" si="18"/>
        <v>628</v>
      </c>
      <c r="T73" s="17">
        <v>-10</v>
      </c>
      <c r="U73" s="17">
        <v>20</v>
      </c>
      <c r="V73" s="17">
        <v>487</v>
      </c>
      <c r="W73" s="18">
        <f t="shared" si="22"/>
        <v>0</v>
      </c>
    </row>
    <row r="74" spans="1:25" x14ac:dyDescent="0.2">
      <c r="A74" s="13">
        <v>4</v>
      </c>
      <c r="B74" s="14" t="s">
        <v>28</v>
      </c>
      <c r="C74" s="15"/>
      <c r="D74" s="17">
        <v>905</v>
      </c>
      <c r="E74" s="17">
        <v>0</v>
      </c>
      <c r="F74" s="17">
        <v>0</v>
      </c>
      <c r="G74" s="17">
        <v>0</v>
      </c>
      <c r="H74" s="18">
        <f t="shared" si="19"/>
        <v>0</v>
      </c>
      <c r="I74" s="17">
        <f>SUM(D74:G74)</f>
        <v>905</v>
      </c>
      <c r="J74" s="17">
        <v>0</v>
      </c>
      <c r="K74" s="17">
        <v>0</v>
      </c>
      <c r="L74" s="17">
        <v>0</v>
      </c>
      <c r="M74" s="18">
        <f t="shared" si="20"/>
        <v>0</v>
      </c>
      <c r="N74" s="17">
        <f t="shared" si="17"/>
        <v>905</v>
      </c>
      <c r="O74" s="17">
        <v>0</v>
      </c>
      <c r="P74" s="17">
        <v>0</v>
      </c>
      <c r="Q74" s="17">
        <v>0</v>
      </c>
      <c r="R74" s="18">
        <f t="shared" si="21"/>
        <v>0</v>
      </c>
      <c r="S74" s="17">
        <f t="shared" si="18"/>
        <v>905</v>
      </c>
      <c r="T74" s="17">
        <v>0</v>
      </c>
      <c r="U74" s="17">
        <v>17</v>
      </c>
      <c r="V74" s="17">
        <v>48</v>
      </c>
      <c r="W74" s="18">
        <f t="shared" si="22"/>
        <v>0</v>
      </c>
    </row>
    <row r="75" spans="1:25" x14ac:dyDescent="0.2">
      <c r="A75" s="13"/>
      <c r="B75" s="19" t="s">
        <v>29</v>
      </c>
      <c r="C75" s="15"/>
      <c r="D75" s="17"/>
      <c r="E75" s="76"/>
      <c r="F75" s="77"/>
      <c r="G75" s="78"/>
      <c r="H75" s="20">
        <f>SUM(H71:H74)</f>
        <v>0</v>
      </c>
      <c r="I75" s="76"/>
      <c r="J75" s="77"/>
      <c r="K75" s="77"/>
      <c r="L75" s="78"/>
      <c r="M75" s="20">
        <f>SUM(M71:M74)</f>
        <v>0</v>
      </c>
      <c r="N75" s="76"/>
      <c r="O75" s="77"/>
      <c r="P75" s="77"/>
      <c r="Q75" s="78"/>
      <c r="R75" s="20">
        <f>SUM(R71:R74)</f>
        <v>0</v>
      </c>
      <c r="S75" s="76"/>
      <c r="T75" s="77"/>
      <c r="U75" s="77"/>
      <c r="V75" s="78"/>
      <c r="W75" s="20">
        <f>SUM(W71:W74)</f>
        <v>0</v>
      </c>
    </row>
    <row r="76" spans="1:25" x14ac:dyDescent="0.2">
      <c r="A76" s="13"/>
      <c r="B76" s="14"/>
      <c r="C76" s="15"/>
      <c r="D76" s="17"/>
      <c r="E76" s="40"/>
      <c r="F76" s="41"/>
      <c r="G76" s="42"/>
      <c r="H76" s="17"/>
      <c r="I76" s="40"/>
      <c r="J76" s="41"/>
      <c r="K76" s="41"/>
      <c r="L76" s="42"/>
      <c r="M76" s="17"/>
      <c r="N76" s="40"/>
      <c r="O76" s="41"/>
      <c r="P76" s="41"/>
      <c r="Q76" s="42"/>
      <c r="R76" s="17"/>
      <c r="S76" s="17"/>
      <c r="T76" s="40"/>
      <c r="U76" s="41"/>
      <c r="V76" s="41"/>
      <c r="W76" s="42"/>
    </row>
    <row r="77" spans="1:25" x14ac:dyDescent="0.2">
      <c r="A77" s="13"/>
      <c r="B77" s="71" t="s">
        <v>30</v>
      </c>
      <c r="C77" s="71"/>
      <c r="D77" s="11" t="s">
        <v>31</v>
      </c>
      <c r="E77" s="79"/>
      <c r="F77" s="80"/>
      <c r="G77" s="81"/>
      <c r="H77" s="17"/>
      <c r="I77" s="79"/>
      <c r="J77" s="80"/>
      <c r="K77" s="80"/>
      <c r="L77" s="81"/>
      <c r="M77" s="17"/>
      <c r="N77" s="79"/>
      <c r="O77" s="80"/>
      <c r="P77" s="80"/>
      <c r="Q77" s="81"/>
      <c r="R77" s="17"/>
      <c r="S77" s="79"/>
      <c r="T77" s="80"/>
      <c r="U77" s="80"/>
      <c r="V77" s="80"/>
      <c r="W77" s="43"/>
    </row>
    <row r="78" spans="1:25" x14ac:dyDescent="0.2">
      <c r="A78" s="13">
        <v>5</v>
      </c>
      <c r="B78" s="12" t="s">
        <v>32</v>
      </c>
      <c r="C78" s="61"/>
      <c r="D78" s="21">
        <v>1</v>
      </c>
      <c r="E78" s="82"/>
      <c r="F78" s="83"/>
      <c r="G78" s="84"/>
      <c r="H78" s="18">
        <f t="shared" ref="H78:H84" si="23">C78*D78*3</f>
        <v>0</v>
      </c>
      <c r="I78" s="82"/>
      <c r="J78" s="83"/>
      <c r="K78" s="83"/>
      <c r="L78" s="84"/>
      <c r="M78" s="18">
        <f t="shared" ref="M78:M84" si="24">C78*D78*3</f>
        <v>0</v>
      </c>
      <c r="N78" s="82"/>
      <c r="O78" s="83"/>
      <c r="P78" s="83"/>
      <c r="Q78" s="84"/>
      <c r="R78" s="18">
        <f t="shared" ref="R78:R84" si="25">C78*D78*3</f>
        <v>0</v>
      </c>
      <c r="S78" s="82"/>
      <c r="T78" s="83"/>
      <c r="U78" s="83"/>
      <c r="V78" s="83"/>
      <c r="W78" s="18">
        <f t="shared" ref="W78:W84" si="26">D78*C78*3</f>
        <v>0</v>
      </c>
    </row>
    <row r="79" spans="1:25" x14ac:dyDescent="0.2">
      <c r="A79" s="13">
        <v>6</v>
      </c>
      <c r="B79" s="12" t="s">
        <v>33</v>
      </c>
      <c r="C79" s="61"/>
      <c r="D79" s="21">
        <v>2</v>
      </c>
      <c r="E79" s="82"/>
      <c r="F79" s="83"/>
      <c r="G79" s="84"/>
      <c r="H79" s="18">
        <f t="shared" si="23"/>
        <v>0</v>
      </c>
      <c r="I79" s="82"/>
      <c r="J79" s="83"/>
      <c r="K79" s="83"/>
      <c r="L79" s="84"/>
      <c r="M79" s="18">
        <f t="shared" si="24"/>
        <v>0</v>
      </c>
      <c r="N79" s="82"/>
      <c r="O79" s="83"/>
      <c r="P79" s="83"/>
      <c r="Q79" s="84"/>
      <c r="R79" s="18">
        <f t="shared" si="25"/>
        <v>0</v>
      </c>
      <c r="S79" s="82"/>
      <c r="T79" s="83"/>
      <c r="U79" s="83"/>
      <c r="V79" s="83"/>
      <c r="W79" s="18">
        <f t="shared" si="26"/>
        <v>0</v>
      </c>
    </row>
    <row r="80" spans="1:25" x14ac:dyDescent="0.2">
      <c r="A80" s="13">
        <v>7</v>
      </c>
      <c r="B80" s="12" t="s">
        <v>34</v>
      </c>
      <c r="C80" s="61"/>
      <c r="D80" s="17">
        <v>2</v>
      </c>
      <c r="E80" s="82"/>
      <c r="F80" s="83"/>
      <c r="G80" s="84"/>
      <c r="H80" s="18">
        <f t="shared" si="23"/>
        <v>0</v>
      </c>
      <c r="I80" s="82"/>
      <c r="J80" s="83"/>
      <c r="K80" s="83"/>
      <c r="L80" s="84"/>
      <c r="M80" s="18">
        <f t="shared" si="24"/>
        <v>0</v>
      </c>
      <c r="N80" s="82"/>
      <c r="O80" s="83"/>
      <c r="P80" s="83"/>
      <c r="Q80" s="84"/>
      <c r="R80" s="18">
        <f t="shared" si="25"/>
        <v>0</v>
      </c>
      <c r="S80" s="82"/>
      <c r="T80" s="83"/>
      <c r="U80" s="83"/>
      <c r="V80" s="83"/>
      <c r="W80" s="18">
        <f t="shared" si="26"/>
        <v>0</v>
      </c>
    </row>
    <row r="81" spans="1:23" x14ac:dyDescent="0.2">
      <c r="A81" s="13">
        <v>8</v>
      </c>
      <c r="B81" s="12" t="s">
        <v>35</v>
      </c>
      <c r="C81" s="61"/>
      <c r="D81" s="17">
        <v>1</v>
      </c>
      <c r="E81" s="82"/>
      <c r="F81" s="83"/>
      <c r="G81" s="84"/>
      <c r="H81" s="18">
        <f t="shared" si="23"/>
        <v>0</v>
      </c>
      <c r="I81" s="82"/>
      <c r="J81" s="83"/>
      <c r="K81" s="83"/>
      <c r="L81" s="84"/>
      <c r="M81" s="18">
        <f t="shared" si="24"/>
        <v>0</v>
      </c>
      <c r="N81" s="82"/>
      <c r="O81" s="83"/>
      <c r="P81" s="83"/>
      <c r="Q81" s="84"/>
      <c r="R81" s="18">
        <f t="shared" si="25"/>
        <v>0</v>
      </c>
      <c r="S81" s="82"/>
      <c r="T81" s="83"/>
      <c r="U81" s="83"/>
      <c r="V81" s="83"/>
      <c r="W81" s="18">
        <f t="shared" si="26"/>
        <v>0</v>
      </c>
    </row>
    <row r="82" spans="1:23" ht="24" x14ac:dyDescent="0.2">
      <c r="A82" s="13">
        <v>9</v>
      </c>
      <c r="B82" s="12" t="s">
        <v>36</v>
      </c>
      <c r="C82" s="61"/>
      <c r="D82" s="17">
        <v>1</v>
      </c>
      <c r="E82" s="82"/>
      <c r="F82" s="83"/>
      <c r="G82" s="84"/>
      <c r="H82" s="18">
        <f t="shared" si="23"/>
        <v>0</v>
      </c>
      <c r="I82" s="82"/>
      <c r="J82" s="83"/>
      <c r="K82" s="83"/>
      <c r="L82" s="84"/>
      <c r="M82" s="18">
        <f t="shared" si="24"/>
        <v>0</v>
      </c>
      <c r="N82" s="82"/>
      <c r="O82" s="83"/>
      <c r="P82" s="83"/>
      <c r="Q82" s="84"/>
      <c r="R82" s="18">
        <f t="shared" si="25"/>
        <v>0</v>
      </c>
      <c r="S82" s="82"/>
      <c r="T82" s="83"/>
      <c r="U82" s="83"/>
      <c r="V82" s="83"/>
      <c r="W82" s="18">
        <f t="shared" si="26"/>
        <v>0</v>
      </c>
    </row>
    <row r="83" spans="1:23" ht="24" x14ac:dyDescent="0.2">
      <c r="A83" s="13">
        <v>10</v>
      </c>
      <c r="B83" s="12" t="s">
        <v>37</v>
      </c>
      <c r="C83" s="61"/>
      <c r="D83" s="17">
        <v>30</v>
      </c>
      <c r="E83" s="82"/>
      <c r="F83" s="83"/>
      <c r="G83" s="84"/>
      <c r="H83" s="18">
        <f t="shared" si="23"/>
        <v>0</v>
      </c>
      <c r="I83" s="82"/>
      <c r="J83" s="83"/>
      <c r="K83" s="83"/>
      <c r="L83" s="84"/>
      <c r="M83" s="18">
        <f t="shared" si="24"/>
        <v>0</v>
      </c>
      <c r="N83" s="82"/>
      <c r="O83" s="83"/>
      <c r="P83" s="83"/>
      <c r="Q83" s="84"/>
      <c r="R83" s="18">
        <f t="shared" si="25"/>
        <v>0</v>
      </c>
      <c r="S83" s="82"/>
      <c r="T83" s="83"/>
      <c r="U83" s="83"/>
      <c r="V83" s="83"/>
      <c r="W83" s="18">
        <f t="shared" si="26"/>
        <v>0</v>
      </c>
    </row>
    <row r="84" spans="1:23" ht="30.75" customHeight="1" x14ac:dyDescent="0.2">
      <c r="A84" s="13"/>
      <c r="B84" s="14" t="s">
        <v>88</v>
      </c>
      <c r="C84" s="70"/>
      <c r="D84" s="17">
        <v>4</v>
      </c>
      <c r="E84" s="64"/>
      <c r="F84" s="65"/>
      <c r="G84" s="66"/>
      <c r="H84" s="18">
        <f t="shared" si="23"/>
        <v>0</v>
      </c>
      <c r="I84" s="64"/>
      <c r="J84" s="65"/>
      <c r="K84" s="65"/>
      <c r="L84" s="66"/>
      <c r="M84" s="18">
        <f t="shared" si="24"/>
        <v>0</v>
      </c>
      <c r="N84" s="64"/>
      <c r="O84" s="65"/>
      <c r="P84" s="65"/>
      <c r="Q84" s="66"/>
      <c r="R84" s="18">
        <f t="shared" si="25"/>
        <v>0</v>
      </c>
      <c r="S84" s="64"/>
      <c r="T84" s="65"/>
      <c r="U84" s="65"/>
      <c r="V84" s="65"/>
      <c r="W84" s="18">
        <f t="shared" si="26"/>
        <v>0</v>
      </c>
    </row>
    <row r="85" spans="1:23" ht="24" x14ac:dyDescent="0.2">
      <c r="A85" s="13"/>
      <c r="B85" s="19" t="s">
        <v>38</v>
      </c>
      <c r="C85" s="21"/>
      <c r="D85" s="17"/>
      <c r="E85" s="17"/>
      <c r="F85" s="17"/>
      <c r="G85" s="17"/>
      <c r="H85" s="25">
        <f>SUM(H78:H84)</f>
        <v>0</v>
      </c>
      <c r="I85" s="17"/>
      <c r="J85" s="17"/>
      <c r="K85" s="17"/>
      <c r="L85" s="17"/>
      <c r="M85" s="25">
        <f>SUM(M78:M84)</f>
        <v>0</v>
      </c>
      <c r="N85" s="17"/>
      <c r="O85" s="17"/>
      <c r="P85" s="17"/>
      <c r="Q85" s="17"/>
      <c r="R85" s="25">
        <f>SUM(R78:R84)</f>
        <v>0</v>
      </c>
      <c r="S85" s="17"/>
      <c r="T85" s="17"/>
      <c r="U85" s="17"/>
      <c r="V85" s="17"/>
      <c r="W85" s="20">
        <f>SUM(W78:W84)</f>
        <v>0</v>
      </c>
    </row>
    <row r="86" spans="1:23" x14ac:dyDescent="0.2">
      <c r="A86" s="13"/>
      <c r="B86" s="36"/>
      <c r="C86" s="36"/>
      <c r="D86" s="36"/>
      <c r="E86" s="37"/>
      <c r="F86" s="37"/>
      <c r="G86" s="37"/>
      <c r="H86" s="37"/>
      <c r="I86" s="37"/>
      <c r="J86" s="37"/>
      <c r="K86" s="37"/>
      <c r="L86" s="37"/>
      <c r="M86" s="37"/>
      <c r="N86" s="37"/>
      <c r="O86" s="44"/>
      <c r="P86" s="6"/>
      <c r="Q86" s="6"/>
      <c r="R86" s="6"/>
      <c r="S86" s="6"/>
      <c r="T86" s="6"/>
      <c r="U86" s="6"/>
      <c r="V86" s="6"/>
      <c r="W86" s="6"/>
    </row>
    <row r="87" spans="1:23" x14ac:dyDescent="0.2">
      <c r="A87" s="4"/>
      <c r="B87" s="91" t="s">
        <v>48</v>
      </c>
      <c r="C87" s="92"/>
      <c r="D87" s="92"/>
      <c r="E87" s="92"/>
      <c r="F87" s="92"/>
      <c r="G87" s="92"/>
      <c r="H87" s="92"/>
      <c r="I87" s="92"/>
      <c r="J87" s="92"/>
      <c r="K87" s="92"/>
      <c r="L87" s="92"/>
      <c r="M87" s="92"/>
      <c r="N87" s="92"/>
      <c r="O87" s="92"/>
      <c r="P87" s="92"/>
      <c r="Q87" s="92"/>
      <c r="R87" s="92"/>
      <c r="S87" s="92"/>
      <c r="T87" s="92"/>
      <c r="U87" s="92"/>
      <c r="V87" s="92"/>
      <c r="W87" s="94"/>
    </row>
    <row r="88" spans="1:23" x14ac:dyDescent="0.2">
      <c r="A88" s="4"/>
      <c r="B88" s="5"/>
      <c r="C88" s="5"/>
      <c r="D88" s="5"/>
      <c r="E88" s="72" t="s">
        <v>1</v>
      </c>
      <c r="F88" s="73"/>
      <c r="G88" s="74"/>
      <c r="H88" s="5"/>
      <c r="I88" s="5"/>
      <c r="J88" s="75" t="s">
        <v>2</v>
      </c>
      <c r="K88" s="75"/>
      <c r="L88" s="75"/>
      <c r="M88" s="5"/>
      <c r="N88" s="5"/>
      <c r="O88" s="75" t="s">
        <v>3</v>
      </c>
      <c r="P88" s="75"/>
      <c r="Q88" s="75"/>
      <c r="R88" s="5"/>
      <c r="S88" s="5"/>
      <c r="T88" s="75" t="s">
        <v>4</v>
      </c>
      <c r="U88" s="75"/>
      <c r="V88" s="75"/>
      <c r="W88" s="5"/>
    </row>
    <row r="89" spans="1:23" ht="24" x14ac:dyDescent="0.2">
      <c r="A89" s="13"/>
      <c r="B89" s="23"/>
      <c r="C89" s="10" t="s">
        <v>7</v>
      </c>
      <c r="D89" s="93"/>
      <c r="E89" s="7">
        <v>46478</v>
      </c>
      <c r="F89" s="7">
        <v>46508</v>
      </c>
      <c r="G89" s="7">
        <v>46539</v>
      </c>
      <c r="H89" s="12" t="s">
        <v>12</v>
      </c>
      <c r="I89" s="1"/>
      <c r="J89" s="7">
        <v>46569</v>
      </c>
      <c r="K89" s="7">
        <v>46600</v>
      </c>
      <c r="L89" s="7">
        <v>46631</v>
      </c>
      <c r="M89" s="12" t="s">
        <v>12</v>
      </c>
      <c r="N89" s="17"/>
      <c r="O89" s="7">
        <v>46661</v>
      </c>
      <c r="P89" s="7">
        <v>46692</v>
      </c>
      <c r="Q89" s="7">
        <v>46722</v>
      </c>
      <c r="R89" s="12" t="s">
        <v>12</v>
      </c>
      <c r="S89" s="12"/>
      <c r="T89" s="7">
        <v>46753</v>
      </c>
      <c r="U89" s="7">
        <v>46784</v>
      </c>
      <c r="V89" s="7">
        <v>46813</v>
      </c>
      <c r="W89" s="12" t="s">
        <v>12</v>
      </c>
    </row>
    <row r="90" spans="1:23" x14ac:dyDescent="0.2">
      <c r="A90" s="13">
        <v>11</v>
      </c>
      <c r="B90" s="12" t="s">
        <v>40</v>
      </c>
      <c r="C90" s="12"/>
      <c r="D90" s="93"/>
      <c r="E90" s="17">
        <f>1582-10</f>
        <v>1572</v>
      </c>
      <c r="F90" s="17">
        <f>1958-44</f>
        <v>1914</v>
      </c>
      <c r="G90" s="17">
        <f>1958</f>
        <v>1958</v>
      </c>
      <c r="H90" s="62">
        <f>(E90+F90+G90)*C90</f>
        <v>0</v>
      </c>
      <c r="I90" s="17"/>
      <c r="J90" s="17">
        <f>1958+30</f>
        <v>1988</v>
      </c>
      <c r="K90" s="17">
        <f>1988+64</f>
        <v>2052</v>
      </c>
      <c r="L90" s="17">
        <f>2052</f>
        <v>2052</v>
      </c>
      <c r="M90" s="62">
        <f>(J90+K90+L90)*C90</f>
        <v>0</v>
      </c>
      <c r="N90" s="17"/>
      <c r="O90" s="17">
        <f>2052</f>
        <v>2052</v>
      </c>
      <c r="P90" s="17">
        <f>2052</f>
        <v>2052</v>
      </c>
      <c r="Q90" s="17">
        <f>2052</f>
        <v>2052</v>
      </c>
      <c r="R90" s="62">
        <f>(O90+P90+Q90)*C90</f>
        <v>0</v>
      </c>
      <c r="S90" s="17"/>
      <c r="T90" s="17">
        <f>2052</f>
        <v>2052</v>
      </c>
      <c r="U90" s="17">
        <f>2012-40</f>
        <v>1972</v>
      </c>
      <c r="V90" s="17">
        <f>1828-184</f>
        <v>1644</v>
      </c>
      <c r="W90" s="62">
        <f>(T90+U90+V90)*C90</f>
        <v>0</v>
      </c>
    </row>
    <row r="91" spans="1:23" x14ac:dyDescent="0.2">
      <c r="A91" s="13">
        <v>12</v>
      </c>
      <c r="B91" s="14" t="s">
        <v>41</v>
      </c>
      <c r="C91" s="12"/>
      <c r="D91" s="93"/>
      <c r="E91" s="17">
        <f>6652-14</f>
        <v>6638</v>
      </c>
      <c r="F91" s="17">
        <f>6556-102</f>
        <v>6454</v>
      </c>
      <c r="G91" s="17">
        <f>6556-17</f>
        <v>6539</v>
      </c>
      <c r="H91" s="62">
        <f>(E91+F91+G91)*C91</f>
        <v>0</v>
      </c>
      <c r="I91" s="17"/>
      <c r="J91" s="17">
        <f>6573+15</f>
        <v>6588</v>
      </c>
      <c r="K91" s="17">
        <f>6588+94</f>
        <v>6682</v>
      </c>
      <c r="L91" s="17">
        <f>6682+3</f>
        <v>6685</v>
      </c>
      <c r="M91" s="62">
        <f>(J91+K91+L91)*C91</f>
        <v>0</v>
      </c>
      <c r="N91" s="17"/>
      <c r="O91" s="17">
        <f>6685+23</f>
        <v>6708</v>
      </c>
      <c r="P91" s="17">
        <f>6708+2</f>
        <v>6710</v>
      </c>
      <c r="Q91" s="17">
        <f>6710+3</f>
        <v>6713</v>
      </c>
      <c r="R91" s="62">
        <f>(O91+P91+Q91)*C91</f>
        <v>0</v>
      </c>
      <c r="S91" s="17"/>
      <c r="T91" s="17">
        <f>6713+404</f>
        <v>7117</v>
      </c>
      <c r="U91" s="17">
        <f>7070-47</f>
        <v>7023</v>
      </c>
      <c r="V91" s="17">
        <f>7672-390</f>
        <v>7282</v>
      </c>
      <c r="W91" s="62">
        <f>(T91+U91+V91)*C91</f>
        <v>0</v>
      </c>
    </row>
    <row r="92" spans="1:23" ht="24" x14ac:dyDescent="0.2">
      <c r="A92" s="13"/>
      <c r="B92" s="24" t="s">
        <v>42</v>
      </c>
      <c r="C92" s="12"/>
      <c r="D92" s="93"/>
      <c r="E92" s="76"/>
      <c r="F92" s="77"/>
      <c r="G92" s="78"/>
      <c r="H92" s="63">
        <f>SUM(H90:H91)</f>
        <v>0</v>
      </c>
      <c r="I92" s="76"/>
      <c r="J92" s="77"/>
      <c r="K92" s="77"/>
      <c r="L92" s="78"/>
      <c r="M92" s="20">
        <f>SUM(M90:M91)</f>
        <v>0</v>
      </c>
      <c r="N92" s="76"/>
      <c r="O92" s="77"/>
      <c r="P92" s="77"/>
      <c r="Q92" s="78"/>
      <c r="R92" s="20">
        <f>SUM(R90:R91)</f>
        <v>0</v>
      </c>
      <c r="S92" s="76"/>
      <c r="T92" s="77"/>
      <c r="U92" s="77"/>
      <c r="V92" s="78"/>
      <c r="W92" s="20">
        <f>SUM(W90:W91)</f>
        <v>0</v>
      </c>
    </row>
    <row r="93" spans="1:23" x14ac:dyDescent="0.2">
      <c r="A93" s="88" t="s">
        <v>43</v>
      </c>
      <c r="B93" s="89"/>
      <c r="C93" s="89"/>
      <c r="D93" s="89"/>
      <c r="E93" s="89"/>
      <c r="F93" s="89"/>
      <c r="G93" s="90"/>
      <c r="H93" s="26">
        <f>H75+H85+H92</f>
        <v>0</v>
      </c>
      <c r="I93" s="12"/>
      <c r="J93" s="12"/>
      <c r="K93" s="12"/>
      <c r="L93" s="12"/>
      <c r="M93" s="26">
        <f>M75+M85+M92</f>
        <v>0</v>
      </c>
      <c r="N93" s="12"/>
      <c r="O93" s="12"/>
      <c r="P93" s="12"/>
      <c r="Q93" s="12"/>
      <c r="R93" s="26">
        <f>R75+R85+R92</f>
        <v>0</v>
      </c>
      <c r="S93" s="12"/>
      <c r="T93" s="12"/>
      <c r="U93" s="12"/>
      <c r="V93" s="12"/>
      <c r="W93" s="26">
        <f>W75+W85+W92</f>
        <v>0</v>
      </c>
    </row>
    <row r="94" spans="1:23" x14ac:dyDescent="0.2">
      <c r="A94" s="13"/>
      <c r="B94" s="36"/>
      <c r="C94" s="36"/>
      <c r="D94" s="36"/>
      <c r="E94" s="37"/>
      <c r="F94" s="37"/>
      <c r="G94" s="37"/>
      <c r="H94" s="37"/>
      <c r="I94" s="37"/>
      <c r="J94" s="37"/>
      <c r="K94" s="37"/>
      <c r="L94" s="37"/>
      <c r="M94" s="37"/>
      <c r="N94" s="37"/>
      <c r="O94" s="44"/>
      <c r="P94" s="6"/>
      <c r="Q94" s="6"/>
      <c r="R94" s="6"/>
      <c r="S94" s="6"/>
      <c r="T94" s="6"/>
      <c r="U94" s="6"/>
      <c r="V94" s="6"/>
      <c r="W94" s="6"/>
    </row>
    <row r="95" spans="1:23" x14ac:dyDescent="0.2">
      <c r="A95" s="13"/>
      <c r="B95" s="36"/>
      <c r="C95" s="36"/>
      <c r="D95" s="36"/>
      <c r="E95" s="37"/>
      <c r="F95" s="37"/>
      <c r="G95" s="37"/>
      <c r="H95" s="37"/>
      <c r="I95" s="37"/>
      <c r="J95" s="37"/>
      <c r="K95" s="37"/>
      <c r="L95" s="37"/>
      <c r="M95" s="37"/>
      <c r="N95" s="37"/>
      <c r="O95" s="44"/>
      <c r="P95" s="6"/>
      <c r="Q95" s="6"/>
      <c r="R95" s="6"/>
      <c r="S95" s="6"/>
      <c r="T95" s="6"/>
      <c r="U95" s="6"/>
      <c r="V95" s="6"/>
      <c r="W95" s="6"/>
    </row>
    <row r="96" spans="1:23" x14ac:dyDescent="0.2">
      <c r="A96" s="27"/>
      <c r="B96" s="38"/>
      <c r="C96" s="38"/>
      <c r="D96" s="38"/>
      <c r="E96" s="39"/>
      <c r="F96" s="39"/>
      <c r="G96" s="39"/>
      <c r="H96" s="39"/>
      <c r="I96" s="39"/>
      <c r="J96" s="39"/>
      <c r="K96" s="39"/>
      <c r="L96" s="39"/>
      <c r="M96" s="39"/>
      <c r="N96" s="39"/>
      <c r="O96" s="45"/>
      <c r="P96" s="46"/>
      <c r="Q96" s="46"/>
      <c r="R96" s="46"/>
      <c r="S96" s="46"/>
      <c r="T96" s="46"/>
      <c r="U96" s="46"/>
      <c r="V96" s="46"/>
      <c r="W96" s="46"/>
    </row>
    <row r="97" spans="1:25" x14ac:dyDescent="0.2">
      <c r="A97" s="13"/>
      <c r="B97" s="101"/>
      <c r="C97" s="101"/>
      <c r="D97" s="101"/>
      <c r="E97" s="101"/>
      <c r="F97" s="101"/>
      <c r="G97" s="101"/>
      <c r="H97" s="101"/>
      <c r="I97" s="101"/>
      <c r="J97" s="101"/>
      <c r="K97" s="101"/>
      <c r="L97" s="101"/>
      <c r="M97" s="101"/>
      <c r="N97" s="101"/>
      <c r="O97" s="102"/>
      <c r="P97" s="6"/>
      <c r="Q97" s="6"/>
      <c r="R97" s="6"/>
      <c r="S97" s="6"/>
      <c r="T97" s="6"/>
      <c r="U97" s="6"/>
      <c r="V97" s="6"/>
      <c r="W97" s="6"/>
    </row>
    <row r="98" spans="1:25" s="47" customFormat="1" x14ac:dyDescent="0.2">
      <c r="A98" s="13"/>
      <c r="B98" s="91" t="s">
        <v>49</v>
      </c>
      <c r="C98" s="92"/>
      <c r="D98" s="92"/>
      <c r="E98" s="92"/>
      <c r="F98" s="92"/>
      <c r="G98" s="92"/>
      <c r="H98" s="92"/>
      <c r="I98" s="92"/>
      <c r="J98" s="92"/>
      <c r="K98" s="92"/>
      <c r="L98" s="92"/>
      <c r="M98" s="92"/>
      <c r="N98" s="92"/>
      <c r="O98" s="92"/>
      <c r="P98" s="92"/>
      <c r="Q98" s="92"/>
      <c r="R98" s="92"/>
      <c r="S98" s="92"/>
      <c r="T98" s="92"/>
      <c r="U98" s="92"/>
      <c r="V98" s="92"/>
      <c r="W98" s="92"/>
      <c r="Y98" s="48"/>
    </row>
    <row r="99" spans="1:25" s="47" customFormat="1" x14ac:dyDescent="0.2">
      <c r="A99" s="13"/>
      <c r="B99" s="5"/>
      <c r="C99" s="5"/>
      <c r="D99" s="5"/>
      <c r="E99" s="72" t="s">
        <v>1</v>
      </c>
      <c r="F99" s="73"/>
      <c r="G99" s="74"/>
      <c r="H99" s="5"/>
      <c r="I99" s="5"/>
      <c r="J99" s="72" t="s">
        <v>2</v>
      </c>
      <c r="K99" s="73"/>
      <c r="L99" s="74"/>
      <c r="M99" s="5"/>
      <c r="N99" s="5"/>
      <c r="O99" s="72" t="s">
        <v>3</v>
      </c>
      <c r="P99" s="73"/>
      <c r="Q99" s="74"/>
      <c r="R99" s="5"/>
      <c r="S99" s="5"/>
      <c r="T99" s="72" t="s">
        <v>4</v>
      </c>
      <c r="U99" s="73"/>
      <c r="V99" s="74"/>
      <c r="W99" s="5"/>
      <c r="Y99" s="48"/>
    </row>
    <row r="100" spans="1:25" s="47" customFormat="1" x14ac:dyDescent="0.2">
      <c r="A100" s="13"/>
      <c r="B100" s="6"/>
      <c r="C100" s="6"/>
      <c r="D100" s="6"/>
      <c r="E100" s="7">
        <v>46844</v>
      </c>
      <c r="F100" s="7">
        <v>46874</v>
      </c>
      <c r="G100" s="7">
        <v>46905</v>
      </c>
      <c r="H100" s="8"/>
      <c r="I100" s="5"/>
      <c r="J100" s="7">
        <v>46935</v>
      </c>
      <c r="K100" s="7">
        <v>46966</v>
      </c>
      <c r="L100" s="7">
        <v>46997</v>
      </c>
      <c r="M100" s="8"/>
      <c r="N100" s="5"/>
      <c r="O100" s="7">
        <v>47027</v>
      </c>
      <c r="P100" s="7">
        <v>47058</v>
      </c>
      <c r="Q100" s="7">
        <v>47088</v>
      </c>
      <c r="R100" s="8"/>
      <c r="S100" s="5"/>
      <c r="T100" s="7">
        <v>47119</v>
      </c>
      <c r="U100" s="7">
        <v>47150</v>
      </c>
      <c r="V100" s="7">
        <v>47178</v>
      </c>
      <c r="W100" s="6"/>
      <c r="Y100" s="48"/>
    </row>
    <row r="101" spans="1:25" s="47" customFormat="1" ht="36" x14ac:dyDescent="0.2">
      <c r="A101" s="13"/>
      <c r="B101" s="9" t="s">
        <v>6</v>
      </c>
      <c r="C101" s="10" t="s">
        <v>7</v>
      </c>
      <c r="D101" s="10" t="s">
        <v>47</v>
      </c>
      <c r="E101" s="10" t="s">
        <v>9</v>
      </c>
      <c r="F101" s="10" t="s">
        <v>10</v>
      </c>
      <c r="G101" s="10" t="s">
        <v>11</v>
      </c>
      <c r="H101" s="10" t="s">
        <v>12</v>
      </c>
      <c r="I101" s="10" t="s">
        <v>13</v>
      </c>
      <c r="J101" s="10" t="s">
        <v>14</v>
      </c>
      <c r="K101" s="10" t="s">
        <v>15</v>
      </c>
      <c r="L101" s="10" t="s">
        <v>16</v>
      </c>
      <c r="M101" s="10" t="s">
        <v>12</v>
      </c>
      <c r="N101" s="10" t="s">
        <v>13</v>
      </c>
      <c r="O101" s="10" t="s">
        <v>17</v>
      </c>
      <c r="P101" s="10" t="s">
        <v>18</v>
      </c>
      <c r="Q101" s="10" t="s">
        <v>19</v>
      </c>
      <c r="R101" s="10" t="s">
        <v>12</v>
      </c>
      <c r="S101" s="10" t="s">
        <v>13</v>
      </c>
      <c r="T101" s="10" t="s">
        <v>20</v>
      </c>
      <c r="U101" s="10" t="s">
        <v>21</v>
      </c>
      <c r="V101" s="10" t="s">
        <v>22</v>
      </c>
      <c r="W101" s="10" t="s">
        <v>12</v>
      </c>
      <c r="Y101" s="48"/>
    </row>
    <row r="102" spans="1:25" s="47" customFormat="1" x14ac:dyDescent="0.2">
      <c r="A102" s="13"/>
      <c r="B102" s="92" t="s">
        <v>23</v>
      </c>
      <c r="C102" s="94"/>
      <c r="D102" s="11" t="s">
        <v>24</v>
      </c>
      <c r="E102" s="12"/>
      <c r="F102" s="12"/>
      <c r="G102" s="12"/>
      <c r="H102" s="12"/>
      <c r="I102" s="12"/>
      <c r="J102" s="12"/>
      <c r="K102" s="12"/>
      <c r="L102" s="12"/>
      <c r="M102" s="12"/>
      <c r="N102" s="12"/>
      <c r="O102" s="12"/>
      <c r="P102" s="12"/>
      <c r="Q102" s="12"/>
      <c r="R102" s="12"/>
      <c r="S102" s="12"/>
      <c r="T102" s="12"/>
      <c r="U102" s="12"/>
      <c r="V102" s="12"/>
      <c r="W102" s="12"/>
      <c r="Y102" s="48"/>
    </row>
    <row r="103" spans="1:25" s="47" customFormat="1" x14ac:dyDescent="0.2">
      <c r="A103" s="13">
        <v>1</v>
      </c>
      <c r="B103" s="14" t="s">
        <v>25</v>
      </c>
      <c r="C103" s="15"/>
      <c r="D103" s="49">
        <v>1577</v>
      </c>
      <c r="E103" s="17">
        <v>-320</v>
      </c>
      <c r="F103" s="17">
        <v>-95</v>
      </c>
      <c r="G103" s="17">
        <v>-12</v>
      </c>
      <c r="H103" s="18">
        <f>((E103+D103)*3+F103*2+G103*1)*C103</f>
        <v>0</v>
      </c>
      <c r="I103" s="17">
        <f t="shared" ref="I103:I106" si="27">SUM(D103:G103)</f>
        <v>1150</v>
      </c>
      <c r="J103" s="17">
        <v>-43</v>
      </c>
      <c r="K103" s="17">
        <v>-36</v>
      </c>
      <c r="L103" s="17">
        <f>57-24</f>
        <v>33</v>
      </c>
      <c r="M103" s="18">
        <f>((I103+J103)*3+K103*2+L103*1)*C103</f>
        <v>0</v>
      </c>
      <c r="N103" s="17">
        <f t="shared" ref="N103:N106" si="28">SUM(I103:L103)</f>
        <v>1104</v>
      </c>
      <c r="O103" s="17">
        <f>1-17</f>
        <v>-16</v>
      </c>
      <c r="P103" s="17">
        <v>2</v>
      </c>
      <c r="Q103" s="17">
        <v>0</v>
      </c>
      <c r="R103" s="18">
        <f>((N103+O103)*3+P103*2+Q103*1)*C103</f>
        <v>0</v>
      </c>
      <c r="S103" s="17">
        <f t="shared" ref="S103:S106" si="29">SUM(N103:Q103)</f>
        <v>1090</v>
      </c>
      <c r="T103" s="17">
        <f>1101-46</f>
        <v>1055</v>
      </c>
      <c r="U103" s="17">
        <f>0-185</f>
        <v>-185</v>
      </c>
      <c r="V103" s="17">
        <f>0-99</f>
        <v>-99</v>
      </c>
      <c r="W103" s="18">
        <f>((S103+T103)*3+U103*2+V103*1)*C103</f>
        <v>0</v>
      </c>
      <c r="Y103" s="48"/>
    </row>
    <row r="104" spans="1:25" s="47" customFormat="1" x14ac:dyDescent="0.2">
      <c r="A104" s="13">
        <v>2</v>
      </c>
      <c r="B104" s="14" t="s">
        <v>26</v>
      </c>
      <c r="C104" s="15"/>
      <c r="D104" s="49">
        <v>4354</v>
      </c>
      <c r="E104" s="17">
        <f>106-54</f>
        <v>52</v>
      </c>
      <c r="F104" s="17">
        <v>-131</v>
      </c>
      <c r="G104" s="17">
        <v>-73</v>
      </c>
      <c r="H104" s="18">
        <f t="shared" ref="H104:H106" si="30">((E104+D104)*3+F104*2+G104*1)*C104</f>
        <v>0</v>
      </c>
      <c r="I104" s="17">
        <f t="shared" si="27"/>
        <v>4202</v>
      </c>
      <c r="J104" s="17">
        <f>1-147</f>
        <v>-146</v>
      </c>
      <c r="K104" s="17">
        <v>-54</v>
      </c>
      <c r="L104" s="17">
        <f>1007-106</f>
        <v>901</v>
      </c>
      <c r="M104" s="18">
        <f t="shared" ref="M104:M106" si="31">((I104+J104)*3+K104*2+L104*1)*C104</f>
        <v>0</v>
      </c>
      <c r="N104" s="17">
        <f t="shared" si="28"/>
        <v>4903</v>
      </c>
      <c r="O104" s="17">
        <f>162-22</f>
        <v>140</v>
      </c>
      <c r="P104" s="17">
        <v>0</v>
      </c>
      <c r="Q104" s="17">
        <f>2-1</f>
        <v>1</v>
      </c>
      <c r="R104" s="18">
        <f t="shared" ref="R104:R106" si="32">((N104+O104)*3+P104*2+Q104*1)*C104</f>
        <v>0</v>
      </c>
      <c r="S104" s="17">
        <f t="shared" si="29"/>
        <v>5044</v>
      </c>
      <c r="T104" s="17">
        <f>4296-8</f>
        <v>4288</v>
      </c>
      <c r="U104" s="17">
        <f>0-509</f>
        <v>-509</v>
      </c>
      <c r="V104" s="17">
        <f>270-10</f>
        <v>260</v>
      </c>
      <c r="W104" s="18">
        <f t="shared" ref="W104:W106" si="33">((S104+T104)*3+U104*2+V104*1)*C104</f>
        <v>0</v>
      </c>
      <c r="Y104" s="48"/>
    </row>
    <row r="105" spans="1:25" s="47" customFormat="1" x14ac:dyDescent="0.2">
      <c r="A105" s="13">
        <v>3</v>
      </c>
      <c r="B105" s="14" t="s">
        <v>27</v>
      </c>
      <c r="C105" s="15"/>
      <c r="D105" s="49">
        <v>1125</v>
      </c>
      <c r="E105" s="17">
        <f>14-5</f>
        <v>9</v>
      </c>
      <c r="F105" s="17">
        <v>-1</v>
      </c>
      <c r="G105" s="17">
        <v>-9</v>
      </c>
      <c r="H105" s="18">
        <f t="shared" si="30"/>
        <v>0</v>
      </c>
      <c r="I105" s="17">
        <f t="shared" si="27"/>
        <v>1124</v>
      </c>
      <c r="J105" s="17">
        <v>-48</v>
      </c>
      <c r="K105" s="17">
        <v>-14</v>
      </c>
      <c r="L105" s="17">
        <v>1</v>
      </c>
      <c r="M105" s="18">
        <f t="shared" si="31"/>
        <v>0</v>
      </c>
      <c r="N105" s="17">
        <f t="shared" si="28"/>
        <v>1063</v>
      </c>
      <c r="O105" s="17">
        <f>1-3</f>
        <v>-2</v>
      </c>
      <c r="P105" s="17">
        <v>0</v>
      </c>
      <c r="Q105" s="17">
        <f>0-6</f>
        <v>-6</v>
      </c>
      <c r="R105" s="18">
        <f t="shared" si="32"/>
        <v>0</v>
      </c>
      <c r="S105" s="17">
        <f t="shared" si="29"/>
        <v>1055</v>
      </c>
      <c r="T105" s="17">
        <f>52</f>
        <v>52</v>
      </c>
      <c r="U105" s="17">
        <f>0-57</f>
        <v>-57</v>
      </c>
      <c r="V105" s="17">
        <f>1-3</f>
        <v>-2</v>
      </c>
      <c r="W105" s="18">
        <f t="shared" si="33"/>
        <v>0</v>
      </c>
      <c r="Y105" s="48"/>
    </row>
    <row r="106" spans="1:25" s="47" customFormat="1" x14ac:dyDescent="0.2">
      <c r="A106" s="13">
        <v>4</v>
      </c>
      <c r="B106" s="14" t="s">
        <v>28</v>
      </c>
      <c r="C106" s="15"/>
      <c r="D106" s="49">
        <v>970</v>
      </c>
      <c r="E106" s="17">
        <f>2-5</f>
        <v>-3</v>
      </c>
      <c r="F106" s="17">
        <v>0</v>
      </c>
      <c r="G106" s="17">
        <v>-35</v>
      </c>
      <c r="H106" s="18">
        <f t="shared" si="30"/>
        <v>0</v>
      </c>
      <c r="I106" s="17">
        <f t="shared" si="27"/>
        <v>932</v>
      </c>
      <c r="J106" s="17">
        <v>-10</v>
      </c>
      <c r="K106" s="17">
        <v>0</v>
      </c>
      <c r="L106" s="17">
        <f>43-14</f>
        <v>29</v>
      </c>
      <c r="M106" s="18">
        <f t="shared" si="31"/>
        <v>0</v>
      </c>
      <c r="N106" s="17">
        <f t="shared" si="28"/>
        <v>951</v>
      </c>
      <c r="O106" s="17">
        <v>16</v>
      </c>
      <c r="P106" s="17">
        <v>0</v>
      </c>
      <c r="Q106" s="17">
        <f>26-1</f>
        <v>25</v>
      </c>
      <c r="R106" s="18">
        <f t="shared" si="32"/>
        <v>0</v>
      </c>
      <c r="S106" s="17">
        <f t="shared" si="29"/>
        <v>992</v>
      </c>
      <c r="T106" s="17">
        <v>0</v>
      </c>
      <c r="U106" s="17">
        <f>0-25</f>
        <v>-25</v>
      </c>
      <c r="V106" s="17">
        <f>37-201</f>
        <v>-164</v>
      </c>
      <c r="W106" s="18">
        <f t="shared" si="33"/>
        <v>0</v>
      </c>
      <c r="Y106" s="48"/>
    </row>
    <row r="107" spans="1:25" s="47" customFormat="1" x14ac:dyDescent="0.2">
      <c r="A107" s="13"/>
      <c r="B107" s="19" t="s">
        <v>29</v>
      </c>
      <c r="C107" s="15"/>
      <c r="D107" s="17"/>
      <c r="E107" s="76"/>
      <c r="F107" s="77"/>
      <c r="G107" s="78"/>
      <c r="H107" s="20">
        <f>SUM(H103:H106)</f>
        <v>0</v>
      </c>
      <c r="I107" s="76"/>
      <c r="J107" s="77"/>
      <c r="K107" s="77"/>
      <c r="L107" s="78"/>
      <c r="M107" s="20">
        <f>SUM(M103:M106)</f>
        <v>0</v>
      </c>
      <c r="N107" s="76"/>
      <c r="O107" s="77"/>
      <c r="P107" s="77"/>
      <c r="Q107" s="78"/>
      <c r="R107" s="20">
        <f>SUM(R103:R106)</f>
        <v>0</v>
      </c>
      <c r="S107" s="76"/>
      <c r="T107" s="77"/>
      <c r="U107" s="77"/>
      <c r="V107" s="78"/>
      <c r="W107" s="20">
        <f>SUM(W103:W106)</f>
        <v>0</v>
      </c>
      <c r="Y107" s="48"/>
    </row>
    <row r="108" spans="1:25" x14ac:dyDescent="0.2">
      <c r="A108" s="13"/>
      <c r="B108" s="14"/>
      <c r="C108" s="15"/>
      <c r="D108" s="17"/>
      <c r="E108" s="40"/>
      <c r="F108" s="41"/>
      <c r="G108" s="42"/>
      <c r="H108" s="17"/>
      <c r="I108" s="40"/>
      <c r="J108" s="41"/>
      <c r="K108" s="41"/>
      <c r="L108" s="42"/>
      <c r="M108" s="17"/>
      <c r="N108" s="40"/>
      <c r="O108" s="41"/>
      <c r="P108" s="41"/>
      <c r="Q108" s="42"/>
      <c r="R108" s="17"/>
      <c r="S108" s="17"/>
      <c r="T108" s="40"/>
      <c r="U108" s="41"/>
      <c r="V108" s="41"/>
      <c r="W108" s="42"/>
    </row>
    <row r="109" spans="1:25" x14ac:dyDescent="0.2">
      <c r="A109" s="13"/>
      <c r="B109" s="71" t="s">
        <v>30</v>
      </c>
      <c r="C109" s="71"/>
      <c r="D109" s="11" t="s">
        <v>31</v>
      </c>
      <c r="E109" s="79"/>
      <c r="F109" s="80"/>
      <c r="G109" s="81"/>
      <c r="H109" s="17"/>
      <c r="I109" s="79"/>
      <c r="J109" s="80"/>
      <c r="K109" s="80"/>
      <c r="L109" s="81"/>
      <c r="M109" s="17"/>
      <c r="N109" s="79"/>
      <c r="O109" s="80"/>
      <c r="P109" s="80"/>
      <c r="Q109" s="81"/>
      <c r="R109" s="17"/>
      <c r="S109" s="79"/>
      <c r="T109" s="80"/>
      <c r="U109" s="80"/>
      <c r="V109" s="80"/>
      <c r="W109" s="43"/>
    </row>
    <row r="110" spans="1:25" x14ac:dyDescent="0.2">
      <c r="A110" s="13">
        <v>5</v>
      </c>
      <c r="B110" s="12" t="s">
        <v>32</v>
      </c>
      <c r="C110" s="61"/>
      <c r="D110" s="21">
        <v>1</v>
      </c>
      <c r="E110" s="82"/>
      <c r="F110" s="83"/>
      <c r="G110" s="84"/>
      <c r="H110" s="18">
        <f t="shared" ref="H110:H116" si="34">C110*D110*3</f>
        <v>0</v>
      </c>
      <c r="I110" s="82"/>
      <c r="J110" s="83"/>
      <c r="K110" s="83"/>
      <c r="L110" s="84"/>
      <c r="M110" s="18">
        <f t="shared" ref="M110:M116" si="35">C110*D110*3</f>
        <v>0</v>
      </c>
      <c r="N110" s="82"/>
      <c r="O110" s="83"/>
      <c r="P110" s="83"/>
      <c r="Q110" s="84"/>
      <c r="R110" s="18">
        <f t="shared" ref="R110:R116" si="36">C110*D110*3</f>
        <v>0</v>
      </c>
      <c r="S110" s="82"/>
      <c r="T110" s="83"/>
      <c r="U110" s="83"/>
      <c r="V110" s="83"/>
      <c r="W110" s="18">
        <f t="shared" ref="W110:W116" si="37">D110*C110*3</f>
        <v>0</v>
      </c>
    </row>
    <row r="111" spans="1:25" s="2" customFormat="1" x14ac:dyDescent="0.2">
      <c r="A111" s="13">
        <v>6</v>
      </c>
      <c r="B111" s="12" t="s">
        <v>33</v>
      </c>
      <c r="C111" s="61"/>
      <c r="D111" s="21">
        <v>2</v>
      </c>
      <c r="E111" s="82"/>
      <c r="F111" s="83"/>
      <c r="G111" s="84"/>
      <c r="H111" s="18">
        <f t="shared" si="34"/>
        <v>0</v>
      </c>
      <c r="I111" s="82"/>
      <c r="J111" s="83"/>
      <c r="K111" s="83"/>
      <c r="L111" s="84"/>
      <c r="M111" s="18">
        <f t="shared" si="35"/>
        <v>0</v>
      </c>
      <c r="N111" s="82"/>
      <c r="O111" s="83"/>
      <c r="P111" s="83"/>
      <c r="Q111" s="84"/>
      <c r="R111" s="18">
        <f t="shared" si="36"/>
        <v>0</v>
      </c>
      <c r="S111" s="82"/>
      <c r="T111" s="83"/>
      <c r="U111" s="83"/>
      <c r="V111" s="83"/>
      <c r="W111" s="18">
        <f t="shared" si="37"/>
        <v>0</v>
      </c>
      <c r="Y111" s="3"/>
    </row>
    <row r="112" spans="1:25" s="2" customFormat="1" x14ac:dyDescent="0.2">
      <c r="A112" s="13">
        <v>7</v>
      </c>
      <c r="B112" s="12" t="s">
        <v>34</v>
      </c>
      <c r="C112" s="61"/>
      <c r="D112" s="17">
        <v>2</v>
      </c>
      <c r="E112" s="82"/>
      <c r="F112" s="83"/>
      <c r="G112" s="84"/>
      <c r="H112" s="18">
        <f t="shared" si="34"/>
        <v>0</v>
      </c>
      <c r="I112" s="82"/>
      <c r="J112" s="83"/>
      <c r="K112" s="83"/>
      <c r="L112" s="84"/>
      <c r="M112" s="18">
        <f t="shared" si="35"/>
        <v>0</v>
      </c>
      <c r="N112" s="82"/>
      <c r="O112" s="83"/>
      <c r="P112" s="83"/>
      <c r="Q112" s="84"/>
      <c r="R112" s="18">
        <f t="shared" si="36"/>
        <v>0</v>
      </c>
      <c r="S112" s="82"/>
      <c r="T112" s="83"/>
      <c r="U112" s="83"/>
      <c r="V112" s="83"/>
      <c r="W112" s="18">
        <f t="shared" si="37"/>
        <v>0</v>
      </c>
      <c r="Y112" s="3"/>
    </row>
    <row r="113" spans="1:25" s="2" customFormat="1" x14ac:dyDescent="0.2">
      <c r="A113" s="13">
        <v>8</v>
      </c>
      <c r="B113" s="12" t="s">
        <v>35</v>
      </c>
      <c r="C113" s="61"/>
      <c r="D113" s="17">
        <v>1</v>
      </c>
      <c r="E113" s="82"/>
      <c r="F113" s="83"/>
      <c r="G113" s="84"/>
      <c r="H113" s="18">
        <f t="shared" si="34"/>
        <v>0</v>
      </c>
      <c r="I113" s="82"/>
      <c r="J113" s="83"/>
      <c r="K113" s="83"/>
      <c r="L113" s="84"/>
      <c r="M113" s="18">
        <f t="shared" si="35"/>
        <v>0</v>
      </c>
      <c r="N113" s="82"/>
      <c r="O113" s="83"/>
      <c r="P113" s="83"/>
      <c r="Q113" s="84"/>
      <c r="R113" s="18">
        <f t="shared" si="36"/>
        <v>0</v>
      </c>
      <c r="S113" s="82"/>
      <c r="T113" s="83"/>
      <c r="U113" s="83"/>
      <c r="V113" s="83"/>
      <c r="W113" s="18">
        <f t="shared" si="37"/>
        <v>0</v>
      </c>
      <c r="Y113" s="3"/>
    </row>
    <row r="114" spans="1:25" s="2" customFormat="1" ht="24" x14ac:dyDescent="0.2">
      <c r="A114" s="13">
        <v>9</v>
      </c>
      <c r="B114" s="12" t="s">
        <v>36</v>
      </c>
      <c r="C114" s="61"/>
      <c r="D114" s="17">
        <v>1</v>
      </c>
      <c r="E114" s="82"/>
      <c r="F114" s="83"/>
      <c r="G114" s="84"/>
      <c r="H114" s="18">
        <f t="shared" si="34"/>
        <v>0</v>
      </c>
      <c r="I114" s="82"/>
      <c r="J114" s="83"/>
      <c r="K114" s="83"/>
      <c r="L114" s="84"/>
      <c r="M114" s="18">
        <f t="shared" si="35"/>
        <v>0</v>
      </c>
      <c r="N114" s="82"/>
      <c r="O114" s="83"/>
      <c r="P114" s="83"/>
      <c r="Q114" s="84"/>
      <c r="R114" s="18">
        <f t="shared" si="36"/>
        <v>0</v>
      </c>
      <c r="S114" s="82"/>
      <c r="T114" s="83"/>
      <c r="U114" s="83"/>
      <c r="V114" s="83"/>
      <c r="W114" s="18">
        <f t="shared" si="37"/>
        <v>0</v>
      </c>
      <c r="Y114" s="3"/>
    </row>
    <row r="115" spans="1:25" s="2" customFormat="1" ht="37.5" customHeight="1" x14ac:dyDescent="0.2">
      <c r="A115" s="13">
        <v>10</v>
      </c>
      <c r="B115" s="12" t="s">
        <v>37</v>
      </c>
      <c r="C115" s="61"/>
      <c r="D115" s="17">
        <v>30</v>
      </c>
      <c r="E115" s="82"/>
      <c r="F115" s="83"/>
      <c r="G115" s="84"/>
      <c r="H115" s="18">
        <f t="shared" si="34"/>
        <v>0</v>
      </c>
      <c r="I115" s="82"/>
      <c r="J115" s="83"/>
      <c r="K115" s="83"/>
      <c r="L115" s="84"/>
      <c r="M115" s="18">
        <f t="shared" si="35"/>
        <v>0</v>
      </c>
      <c r="N115" s="82"/>
      <c r="O115" s="83"/>
      <c r="P115" s="83"/>
      <c r="Q115" s="84"/>
      <c r="R115" s="18">
        <f t="shared" si="36"/>
        <v>0</v>
      </c>
      <c r="S115" s="82"/>
      <c r="T115" s="83"/>
      <c r="U115" s="83"/>
      <c r="V115" s="83"/>
      <c r="W115" s="18">
        <f t="shared" si="37"/>
        <v>0</v>
      </c>
      <c r="Y115" s="3"/>
    </row>
    <row r="116" spans="1:25" s="2" customFormat="1" ht="27.75" customHeight="1" x14ac:dyDescent="0.2">
      <c r="A116" s="13"/>
      <c r="B116" s="14" t="s">
        <v>88</v>
      </c>
      <c r="C116" s="70"/>
      <c r="D116" s="17">
        <v>4</v>
      </c>
      <c r="E116" s="64"/>
      <c r="F116" s="65"/>
      <c r="G116" s="66"/>
      <c r="H116" s="18">
        <f t="shared" si="34"/>
        <v>0</v>
      </c>
      <c r="I116" s="64"/>
      <c r="J116" s="65"/>
      <c r="K116" s="65"/>
      <c r="L116" s="66"/>
      <c r="M116" s="18">
        <f t="shared" si="35"/>
        <v>0</v>
      </c>
      <c r="N116" s="64"/>
      <c r="O116" s="65"/>
      <c r="P116" s="65"/>
      <c r="Q116" s="66"/>
      <c r="R116" s="18">
        <f t="shared" si="36"/>
        <v>0</v>
      </c>
      <c r="S116" s="64"/>
      <c r="T116" s="65"/>
      <c r="U116" s="65"/>
      <c r="V116" s="65"/>
      <c r="W116" s="18">
        <f t="shared" si="37"/>
        <v>0</v>
      </c>
      <c r="Y116" s="3"/>
    </row>
    <row r="117" spans="1:25" s="2" customFormat="1" ht="24" x14ac:dyDescent="0.2">
      <c r="A117" s="13"/>
      <c r="B117" s="19" t="s">
        <v>38</v>
      </c>
      <c r="C117" s="21"/>
      <c r="D117" s="17"/>
      <c r="E117" s="17"/>
      <c r="F117" s="17"/>
      <c r="G117" s="17"/>
      <c r="H117" s="63">
        <f>SUM(H110:H116)</f>
        <v>0</v>
      </c>
      <c r="I117" s="17"/>
      <c r="J117" s="17"/>
      <c r="K117" s="17"/>
      <c r="L117" s="17"/>
      <c r="M117" s="63">
        <f>SUM(M110:M116)</f>
        <v>0</v>
      </c>
      <c r="N117" s="17"/>
      <c r="O117" s="17"/>
      <c r="P117" s="17"/>
      <c r="Q117" s="17"/>
      <c r="R117" s="63">
        <f>SUM(R110:R116)</f>
        <v>0</v>
      </c>
      <c r="S117" s="17"/>
      <c r="T117" s="17"/>
      <c r="U117" s="17"/>
      <c r="V117" s="17"/>
      <c r="W117" s="20">
        <f>SUM(W110:W116)</f>
        <v>0</v>
      </c>
      <c r="Y117" s="3"/>
    </row>
    <row r="118" spans="1:25" x14ac:dyDescent="0.2">
      <c r="A118" s="13"/>
      <c r="B118" s="36"/>
      <c r="C118" s="36"/>
      <c r="D118" s="36"/>
      <c r="E118" s="37"/>
      <c r="F118" s="37"/>
      <c r="G118" s="37"/>
      <c r="H118" s="37"/>
      <c r="I118" s="37"/>
      <c r="J118" s="37"/>
      <c r="K118" s="37"/>
      <c r="L118" s="37"/>
      <c r="M118" s="37"/>
      <c r="N118" s="37"/>
      <c r="O118" s="44"/>
      <c r="P118" s="6"/>
      <c r="Q118" s="6"/>
      <c r="R118" s="6"/>
      <c r="S118" s="6"/>
      <c r="T118" s="6"/>
      <c r="U118" s="6"/>
      <c r="V118" s="6"/>
      <c r="W118" s="6"/>
    </row>
    <row r="119" spans="1:25" s="2" customFormat="1" x14ac:dyDescent="0.2">
      <c r="A119" s="4"/>
      <c r="B119" s="91" t="s">
        <v>50</v>
      </c>
      <c r="C119" s="92"/>
      <c r="D119" s="92"/>
      <c r="E119" s="92"/>
      <c r="F119" s="92"/>
      <c r="G119" s="92"/>
      <c r="H119" s="92"/>
      <c r="I119" s="92"/>
      <c r="J119" s="92"/>
      <c r="K119" s="92"/>
      <c r="L119" s="92"/>
      <c r="M119" s="92"/>
      <c r="N119" s="92"/>
      <c r="O119" s="92"/>
      <c r="P119" s="92"/>
      <c r="Q119" s="92"/>
      <c r="R119" s="92"/>
      <c r="S119" s="92"/>
      <c r="T119" s="92"/>
      <c r="U119" s="92"/>
      <c r="V119" s="92"/>
      <c r="W119" s="94"/>
      <c r="Y119" s="3"/>
    </row>
    <row r="120" spans="1:25" x14ac:dyDescent="0.2">
      <c r="A120" s="4"/>
      <c r="B120" s="5"/>
      <c r="C120" s="5"/>
      <c r="D120" s="5"/>
      <c r="E120" s="72" t="s">
        <v>1</v>
      </c>
      <c r="F120" s="73"/>
      <c r="G120" s="74"/>
      <c r="H120" s="5"/>
      <c r="I120" s="5"/>
      <c r="J120" s="75" t="s">
        <v>2</v>
      </c>
      <c r="K120" s="75"/>
      <c r="L120" s="75"/>
      <c r="M120" s="5"/>
      <c r="N120" s="5"/>
      <c r="O120" s="75" t="s">
        <v>3</v>
      </c>
      <c r="P120" s="75"/>
      <c r="Q120" s="75"/>
      <c r="R120" s="5"/>
      <c r="S120" s="5"/>
      <c r="T120" s="75" t="s">
        <v>4</v>
      </c>
      <c r="U120" s="75"/>
      <c r="V120" s="75"/>
      <c r="W120" s="5"/>
    </row>
    <row r="121" spans="1:25" ht="24" x14ac:dyDescent="0.2">
      <c r="A121" s="13"/>
      <c r="B121" s="23"/>
      <c r="C121" s="10" t="s">
        <v>7</v>
      </c>
      <c r="D121" s="93"/>
      <c r="E121" s="7">
        <v>46844</v>
      </c>
      <c r="F121" s="7">
        <v>46874</v>
      </c>
      <c r="G121" s="7">
        <v>46905</v>
      </c>
      <c r="H121" s="12" t="s">
        <v>12</v>
      </c>
      <c r="I121" s="1"/>
      <c r="J121" s="7">
        <v>46935</v>
      </c>
      <c r="K121" s="7">
        <v>46966</v>
      </c>
      <c r="L121" s="7">
        <v>46997</v>
      </c>
      <c r="M121" s="12" t="s">
        <v>12</v>
      </c>
      <c r="N121" s="17"/>
      <c r="O121" s="7">
        <v>47027</v>
      </c>
      <c r="P121" s="7">
        <v>47058</v>
      </c>
      <c r="Q121" s="7">
        <v>47088</v>
      </c>
      <c r="R121" s="12" t="s">
        <v>12</v>
      </c>
      <c r="S121" s="12"/>
      <c r="T121" s="7">
        <v>47119</v>
      </c>
      <c r="U121" s="7">
        <v>47150</v>
      </c>
      <c r="V121" s="7">
        <v>47178</v>
      </c>
      <c r="W121" s="12" t="s">
        <v>12</v>
      </c>
    </row>
    <row r="122" spans="1:25" s="2" customFormat="1" x14ac:dyDescent="0.2">
      <c r="A122" s="13">
        <v>11</v>
      </c>
      <c r="B122" s="12" t="s">
        <v>40</v>
      </c>
      <c r="C122" s="12"/>
      <c r="D122" s="93"/>
      <c r="E122" s="17">
        <f>1829+320</f>
        <v>2149</v>
      </c>
      <c r="F122" s="17">
        <f>2149+95</f>
        <v>2244</v>
      </c>
      <c r="G122" s="17">
        <f>2244+12</f>
        <v>2256</v>
      </c>
      <c r="H122" s="62">
        <f>(E122+F122+G122)*C122</f>
        <v>0</v>
      </c>
      <c r="I122" s="17"/>
      <c r="J122" s="17">
        <f>2256+43</f>
        <v>2299</v>
      </c>
      <c r="K122" s="17">
        <f>2299+36</f>
        <v>2335</v>
      </c>
      <c r="L122" s="17">
        <f>2278-57+24</f>
        <v>2245</v>
      </c>
      <c r="M122" s="62">
        <f>(J122+K122+L122)*C122</f>
        <v>0</v>
      </c>
      <c r="N122" s="17"/>
      <c r="O122" s="17">
        <f>2301-1+17</f>
        <v>2317</v>
      </c>
      <c r="P122" s="17">
        <f>2318-2</f>
        <v>2316</v>
      </c>
      <c r="Q122" s="17">
        <f>2320</f>
        <v>2320</v>
      </c>
      <c r="R122" s="62">
        <f>(O122+P122+Q122)*C122</f>
        <v>0</v>
      </c>
      <c r="S122" s="17"/>
      <c r="T122" s="17">
        <f>1219-1101+46</f>
        <v>164</v>
      </c>
      <c r="U122" s="17">
        <f>1265+185</f>
        <v>1450</v>
      </c>
      <c r="V122" s="17">
        <f>1450+99</f>
        <v>1549</v>
      </c>
      <c r="W122" s="62">
        <f>(T122+U122+V122)*C122</f>
        <v>0</v>
      </c>
      <c r="Y122" s="3"/>
    </row>
    <row r="123" spans="1:25" x14ac:dyDescent="0.2">
      <c r="A123" s="13">
        <v>12</v>
      </c>
      <c r="B123" s="14" t="s">
        <v>41</v>
      </c>
      <c r="C123" s="12"/>
      <c r="D123" s="93"/>
      <c r="E123" s="17">
        <f>7918-106+54</f>
        <v>7866</v>
      </c>
      <c r="F123" s="17">
        <f>7972+131</f>
        <v>8103</v>
      </c>
      <c r="G123" s="17">
        <f>8103+73</f>
        <v>8176</v>
      </c>
      <c r="H123" s="62">
        <f>(E123+F123+G123)*C123</f>
        <v>0</v>
      </c>
      <c r="I123" s="17"/>
      <c r="J123" s="17">
        <f>8175-1+146</f>
        <v>8320</v>
      </c>
      <c r="K123" s="17">
        <f>8322+54</f>
        <v>8376</v>
      </c>
      <c r="L123" s="17">
        <f>7369-1007+106</f>
        <v>6468</v>
      </c>
      <c r="M123" s="62">
        <f>(J123+K123+L123)*C123</f>
        <v>0</v>
      </c>
      <c r="N123" s="17"/>
      <c r="O123" s="17">
        <f>7313-162+22</f>
        <v>7173</v>
      </c>
      <c r="P123" s="17">
        <f>7335</f>
        <v>7335</v>
      </c>
      <c r="Q123" s="17">
        <f>7333-2+1</f>
        <v>7332</v>
      </c>
      <c r="R123" s="62">
        <f>(O123+P123+Q123)*C123</f>
        <v>0</v>
      </c>
      <c r="S123" s="17"/>
      <c r="T123" s="17">
        <f>3038-4296+8</f>
        <v>-1250</v>
      </c>
      <c r="U123" s="17">
        <f>3046+509</f>
        <v>3555</v>
      </c>
      <c r="V123" s="17">
        <f>3285-270+10</f>
        <v>3025</v>
      </c>
      <c r="W123" s="62">
        <f>(T123+U123+V123)*C123</f>
        <v>0</v>
      </c>
    </row>
    <row r="124" spans="1:25" ht="24" x14ac:dyDescent="0.2">
      <c r="A124" s="13"/>
      <c r="B124" s="24" t="s">
        <v>42</v>
      </c>
      <c r="C124" s="12"/>
      <c r="D124" s="93"/>
      <c r="E124" s="76"/>
      <c r="F124" s="77"/>
      <c r="G124" s="78"/>
      <c r="H124" s="63">
        <f>SUM(H122:H123)</f>
        <v>0</v>
      </c>
      <c r="I124" s="76"/>
      <c r="J124" s="77"/>
      <c r="K124" s="77"/>
      <c r="L124" s="78"/>
      <c r="M124" s="20">
        <f>SUM(M122:M123)</f>
        <v>0</v>
      </c>
      <c r="N124" s="76"/>
      <c r="O124" s="77"/>
      <c r="P124" s="77"/>
      <c r="Q124" s="78"/>
      <c r="R124" s="20">
        <f>SUM(R122:R123)</f>
        <v>0</v>
      </c>
      <c r="S124" s="76"/>
      <c r="T124" s="77"/>
      <c r="U124" s="77"/>
      <c r="V124" s="78"/>
      <c r="W124" s="20">
        <f>SUM(W122:W123)</f>
        <v>0</v>
      </c>
    </row>
    <row r="125" spans="1:25" x14ac:dyDescent="0.2">
      <c r="A125" s="88" t="s">
        <v>43</v>
      </c>
      <c r="B125" s="89"/>
      <c r="C125" s="89"/>
      <c r="D125" s="89"/>
      <c r="E125" s="89"/>
      <c r="F125" s="89"/>
      <c r="G125" s="90"/>
      <c r="H125" s="26">
        <f>H107+H117+H124</f>
        <v>0</v>
      </c>
      <c r="I125" s="12"/>
      <c r="J125" s="12"/>
      <c r="K125" s="12"/>
      <c r="L125" s="12"/>
      <c r="M125" s="26">
        <f>M107+M117+M124</f>
        <v>0</v>
      </c>
      <c r="N125" s="12"/>
      <c r="O125" s="12"/>
      <c r="P125" s="12"/>
      <c r="Q125" s="12"/>
      <c r="R125" s="26">
        <f>R107+R117+R124</f>
        <v>0</v>
      </c>
      <c r="S125" s="12"/>
      <c r="T125" s="12"/>
      <c r="U125" s="12"/>
      <c r="V125" s="12"/>
      <c r="W125" s="26">
        <f>W107+W117+W124</f>
        <v>0</v>
      </c>
    </row>
    <row r="126" spans="1:25" x14ac:dyDescent="0.2">
      <c r="A126" s="13"/>
      <c r="B126" s="36"/>
      <c r="C126" s="36"/>
      <c r="D126" s="36"/>
      <c r="E126" s="37"/>
      <c r="F126" s="37"/>
      <c r="G126" s="37"/>
      <c r="H126" s="37"/>
      <c r="I126" s="37"/>
      <c r="J126" s="37"/>
      <c r="K126" s="37"/>
      <c r="L126" s="37"/>
      <c r="M126" s="37"/>
      <c r="N126" s="37"/>
      <c r="O126" s="44"/>
      <c r="P126" s="6"/>
      <c r="Q126" s="6"/>
      <c r="R126" s="6"/>
      <c r="S126" s="6"/>
      <c r="T126" s="6"/>
      <c r="U126" s="6"/>
      <c r="V126" s="6"/>
      <c r="W126" s="6"/>
    </row>
    <row r="127" spans="1:25" x14ac:dyDescent="0.2">
      <c r="A127" s="13"/>
      <c r="B127" s="36"/>
      <c r="C127" s="36"/>
      <c r="D127" s="36"/>
      <c r="E127" s="37"/>
      <c r="F127" s="37"/>
      <c r="G127" s="37"/>
      <c r="H127" s="37"/>
      <c r="I127" s="37"/>
      <c r="J127" s="37"/>
      <c r="K127" s="37"/>
      <c r="L127" s="37"/>
      <c r="M127" s="37"/>
      <c r="N127" s="37"/>
      <c r="O127" s="44"/>
      <c r="P127" s="6"/>
      <c r="Q127" s="6"/>
      <c r="R127" s="6"/>
      <c r="S127" s="6"/>
      <c r="T127" s="6"/>
      <c r="U127" s="6"/>
      <c r="V127" s="6"/>
      <c r="W127" s="6"/>
    </row>
    <row r="128" spans="1:25" x14ac:dyDescent="0.2">
      <c r="A128" s="27"/>
      <c r="B128" s="38"/>
      <c r="C128" s="38"/>
      <c r="D128" s="38"/>
      <c r="E128" s="39"/>
      <c r="F128" s="39"/>
      <c r="G128" s="39"/>
      <c r="H128" s="39"/>
      <c r="I128" s="39"/>
      <c r="J128" s="39"/>
      <c r="K128" s="39"/>
      <c r="L128" s="39"/>
      <c r="M128" s="39"/>
      <c r="N128" s="39"/>
      <c r="O128" s="45"/>
      <c r="P128" s="46"/>
      <c r="Q128" s="46"/>
      <c r="R128" s="46"/>
      <c r="S128" s="46"/>
      <c r="T128" s="46"/>
      <c r="U128" s="46"/>
      <c r="V128" s="46"/>
      <c r="W128" s="46"/>
    </row>
    <row r="129" spans="1:23" x14ac:dyDescent="0.2">
      <c r="A129" s="13"/>
      <c r="B129" s="101"/>
      <c r="C129" s="101"/>
      <c r="D129" s="101"/>
      <c r="E129" s="101"/>
      <c r="F129" s="101"/>
      <c r="G129" s="101"/>
      <c r="H129" s="101"/>
      <c r="I129" s="101"/>
      <c r="J129" s="101"/>
      <c r="K129" s="101"/>
      <c r="L129" s="101"/>
      <c r="M129" s="101"/>
      <c r="N129" s="101"/>
      <c r="O129" s="102"/>
      <c r="P129" s="6"/>
      <c r="Q129" s="6"/>
      <c r="R129" s="6"/>
      <c r="S129" s="6"/>
      <c r="T129" s="6"/>
      <c r="U129" s="6"/>
      <c r="V129" s="6"/>
      <c r="W129" s="6"/>
    </row>
    <row r="130" spans="1:23" x14ac:dyDescent="0.2">
      <c r="A130" s="13"/>
      <c r="B130" s="91" t="s">
        <v>51</v>
      </c>
      <c r="C130" s="92"/>
      <c r="D130" s="92"/>
      <c r="E130" s="92"/>
      <c r="F130" s="92"/>
      <c r="G130" s="92"/>
      <c r="H130" s="92"/>
      <c r="I130" s="92"/>
      <c r="J130" s="92"/>
      <c r="K130" s="92"/>
      <c r="L130" s="92"/>
      <c r="M130" s="92"/>
      <c r="N130" s="92"/>
      <c r="O130" s="92"/>
      <c r="P130" s="92"/>
      <c r="Q130" s="92"/>
      <c r="R130" s="92"/>
      <c r="S130" s="92"/>
      <c r="T130" s="92"/>
      <c r="U130" s="92"/>
      <c r="V130" s="92"/>
      <c r="W130" s="92"/>
    </row>
    <row r="131" spans="1:23" x14ac:dyDescent="0.2">
      <c r="A131" s="13"/>
      <c r="B131" s="5"/>
      <c r="C131" s="5"/>
      <c r="D131" s="5"/>
      <c r="E131" s="72" t="s">
        <v>1</v>
      </c>
      <c r="F131" s="73"/>
      <c r="G131" s="74"/>
      <c r="H131" s="5"/>
      <c r="I131" s="5"/>
      <c r="J131" s="72" t="s">
        <v>2</v>
      </c>
      <c r="K131" s="73"/>
      <c r="L131" s="74"/>
      <c r="M131" s="5"/>
      <c r="N131" s="5"/>
      <c r="O131" s="72" t="s">
        <v>3</v>
      </c>
      <c r="P131" s="73"/>
      <c r="Q131" s="74"/>
      <c r="R131" s="5"/>
      <c r="S131" s="5"/>
      <c r="T131" s="72" t="s">
        <v>4</v>
      </c>
      <c r="U131" s="73"/>
      <c r="V131" s="74"/>
      <c r="W131" s="5"/>
    </row>
    <row r="132" spans="1:23" x14ac:dyDescent="0.2">
      <c r="A132" s="13"/>
      <c r="B132" s="6"/>
      <c r="C132" s="6"/>
      <c r="D132" s="6"/>
      <c r="E132" s="7">
        <v>47209</v>
      </c>
      <c r="F132" s="7">
        <v>47239</v>
      </c>
      <c r="G132" s="7">
        <v>47270</v>
      </c>
      <c r="H132" s="8"/>
      <c r="I132" s="5"/>
      <c r="J132" s="7">
        <v>47300</v>
      </c>
      <c r="K132" s="7">
        <v>47331</v>
      </c>
      <c r="L132" s="7">
        <v>47362</v>
      </c>
      <c r="M132" s="8"/>
      <c r="N132" s="5"/>
      <c r="O132" s="7">
        <v>47392</v>
      </c>
      <c r="P132" s="7">
        <v>47423</v>
      </c>
      <c r="Q132" s="7">
        <v>47453</v>
      </c>
      <c r="R132" s="8"/>
      <c r="S132" s="5"/>
      <c r="T132" s="7">
        <v>47484</v>
      </c>
      <c r="U132" s="7">
        <v>47515</v>
      </c>
      <c r="V132" s="7">
        <v>47543</v>
      </c>
      <c r="W132" s="6"/>
    </row>
    <row r="133" spans="1:23" ht="36" x14ac:dyDescent="0.2">
      <c r="A133" s="13"/>
      <c r="B133" s="9" t="s">
        <v>6</v>
      </c>
      <c r="C133" s="10" t="s">
        <v>7</v>
      </c>
      <c r="D133" s="10" t="s">
        <v>47</v>
      </c>
      <c r="E133" s="10" t="s">
        <v>9</v>
      </c>
      <c r="F133" s="10" t="s">
        <v>10</v>
      </c>
      <c r="G133" s="10" t="s">
        <v>11</v>
      </c>
      <c r="H133" s="10" t="s">
        <v>12</v>
      </c>
      <c r="I133" s="10" t="s">
        <v>13</v>
      </c>
      <c r="J133" s="10" t="s">
        <v>14</v>
      </c>
      <c r="K133" s="10" t="s">
        <v>15</v>
      </c>
      <c r="L133" s="10" t="s">
        <v>16</v>
      </c>
      <c r="M133" s="10" t="s">
        <v>12</v>
      </c>
      <c r="N133" s="10" t="s">
        <v>13</v>
      </c>
      <c r="O133" s="10" t="s">
        <v>17</v>
      </c>
      <c r="P133" s="10" t="s">
        <v>18</v>
      </c>
      <c r="Q133" s="10" t="s">
        <v>19</v>
      </c>
      <c r="R133" s="10" t="s">
        <v>12</v>
      </c>
      <c r="S133" s="10" t="s">
        <v>13</v>
      </c>
      <c r="T133" s="10" t="s">
        <v>20</v>
      </c>
      <c r="U133" s="10" t="s">
        <v>21</v>
      </c>
      <c r="V133" s="10" t="s">
        <v>22</v>
      </c>
      <c r="W133" s="10" t="s">
        <v>12</v>
      </c>
    </row>
    <row r="134" spans="1:23" x14ac:dyDescent="0.2">
      <c r="A134" s="13"/>
      <c r="B134" s="92" t="s">
        <v>23</v>
      </c>
      <c r="C134" s="94"/>
      <c r="D134" s="11" t="s">
        <v>24</v>
      </c>
      <c r="E134" s="12"/>
      <c r="F134" s="12"/>
      <c r="G134" s="12"/>
      <c r="H134" s="12"/>
      <c r="I134" s="12"/>
      <c r="J134" s="12"/>
      <c r="K134" s="12"/>
      <c r="L134" s="12"/>
      <c r="M134" s="12"/>
      <c r="N134" s="12"/>
      <c r="O134" s="12"/>
      <c r="P134" s="12"/>
      <c r="Q134" s="12"/>
      <c r="R134" s="12"/>
      <c r="S134" s="12"/>
      <c r="T134" s="12"/>
      <c r="U134" s="12"/>
      <c r="V134" s="12"/>
      <c r="W134" s="12"/>
    </row>
    <row r="135" spans="1:23" x14ac:dyDescent="0.2">
      <c r="A135" s="13">
        <v>1</v>
      </c>
      <c r="B135" s="14" t="s">
        <v>25</v>
      </c>
      <c r="C135" s="15"/>
      <c r="D135" s="49">
        <v>1577</v>
      </c>
      <c r="E135" s="17">
        <f>0-10</f>
        <v>-10</v>
      </c>
      <c r="F135" s="17">
        <f>0-44</f>
        <v>-44</v>
      </c>
      <c r="G135" s="17">
        <v>0</v>
      </c>
      <c r="H135" s="18">
        <f>((E135+D135)*3+F135*2+G135*1)*C135</f>
        <v>0</v>
      </c>
      <c r="I135" s="17">
        <f t="shared" ref="I135:I138" si="38">SUM(D135:G135)</f>
        <v>1523</v>
      </c>
      <c r="J135" s="17">
        <v>0</v>
      </c>
      <c r="K135" s="17">
        <v>0</v>
      </c>
      <c r="L135" s="17">
        <f>0</f>
        <v>0</v>
      </c>
      <c r="M135" s="18">
        <f>((I135+J135)*3+K135*2+L135*1)*C135</f>
        <v>0</v>
      </c>
      <c r="N135" s="17">
        <f t="shared" ref="N135:N138" si="39">SUM(I135:L135)</f>
        <v>1523</v>
      </c>
      <c r="O135" s="17">
        <f>0</f>
        <v>0</v>
      </c>
      <c r="P135" s="17">
        <f>2</f>
        <v>2</v>
      </c>
      <c r="Q135" s="17">
        <f>0</f>
        <v>0</v>
      </c>
      <c r="R135" s="17"/>
      <c r="S135" s="17">
        <f t="shared" ref="S135:S138" si="40">SUM(N135:Q135)</f>
        <v>1525</v>
      </c>
      <c r="T135" s="17">
        <f>0+2</f>
        <v>2</v>
      </c>
      <c r="U135" s="17">
        <f>0-40</f>
        <v>-40</v>
      </c>
      <c r="V135" s="17">
        <f>0+151-2</f>
        <v>149</v>
      </c>
      <c r="W135" s="18">
        <f>((S135+T135)*3+U135*2+V135*1)*C135</f>
        <v>0</v>
      </c>
    </row>
    <row r="136" spans="1:23" x14ac:dyDescent="0.2">
      <c r="A136" s="13">
        <v>2</v>
      </c>
      <c r="B136" s="14" t="s">
        <v>26</v>
      </c>
      <c r="C136" s="15"/>
      <c r="D136" s="49">
        <v>4354</v>
      </c>
      <c r="E136" s="17">
        <f>0-14</f>
        <v>-14</v>
      </c>
      <c r="F136" s="17">
        <f>0-102</f>
        <v>-102</v>
      </c>
      <c r="G136" s="17">
        <v>0</v>
      </c>
      <c r="H136" s="18">
        <f t="shared" ref="H136:H138" si="41">((E136+D136)*3+F136*2+G136*1)*C136</f>
        <v>0</v>
      </c>
      <c r="I136" s="17">
        <f t="shared" si="38"/>
        <v>4238</v>
      </c>
      <c r="J136" s="17">
        <v>0</v>
      </c>
      <c r="K136" s="17">
        <f>0+2</f>
        <v>2</v>
      </c>
      <c r="L136" s="17">
        <f>0</f>
        <v>0</v>
      </c>
      <c r="M136" s="18">
        <f t="shared" ref="M136:M138" si="42">((I136+J136)*3+K136*2+L136*1)*C136</f>
        <v>0</v>
      </c>
      <c r="N136" s="17">
        <f t="shared" si="39"/>
        <v>4240</v>
      </c>
      <c r="O136" s="17">
        <f>0</f>
        <v>0</v>
      </c>
      <c r="P136" s="17">
        <f>0</f>
        <v>0</v>
      </c>
      <c r="Q136" s="17">
        <f>0+1</f>
        <v>1</v>
      </c>
      <c r="R136" s="17"/>
      <c r="S136" s="17">
        <f t="shared" si="40"/>
        <v>4241</v>
      </c>
      <c r="T136" s="17">
        <f>0+219</f>
        <v>219</v>
      </c>
      <c r="U136" s="17">
        <f>37-47</f>
        <v>-10</v>
      </c>
      <c r="V136" s="17">
        <f>0+10-23</f>
        <v>-13</v>
      </c>
      <c r="W136" s="18">
        <f t="shared" ref="W136:W138" si="43">((S136+T136)*3+U136*2+V136*1)*C136</f>
        <v>0</v>
      </c>
    </row>
    <row r="137" spans="1:23" x14ac:dyDescent="0.2">
      <c r="A137" s="13">
        <v>3</v>
      </c>
      <c r="B137" s="14" t="s">
        <v>27</v>
      </c>
      <c r="C137" s="15"/>
      <c r="D137" s="49">
        <v>1125</v>
      </c>
      <c r="E137" s="17">
        <f>0-3</f>
        <v>-3</v>
      </c>
      <c r="F137" s="17">
        <f>0-1</f>
        <v>-1</v>
      </c>
      <c r="G137" s="17">
        <f>0-2</f>
        <v>-2</v>
      </c>
      <c r="H137" s="18">
        <f t="shared" si="41"/>
        <v>0</v>
      </c>
      <c r="I137" s="17">
        <f t="shared" si="38"/>
        <v>1119</v>
      </c>
      <c r="J137" s="17">
        <v>0</v>
      </c>
      <c r="K137" s="17">
        <f>0+237</f>
        <v>237</v>
      </c>
      <c r="L137" s="17">
        <f>0+4</f>
        <v>4</v>
      </c>
      <c r="M137" s="18">
        <f t="shared" si="42"/>
        <v>0</v>
      </c>
      <c r="N137" s="17">
        <f t="shared" si="39"/>
        <v>1360</v>
      </c>
      <c r="O137" s="17">
        <f>0+4</f>
        <v>4</v>
      </c>
      <c r="P137" s="17">
        <f>0</f>
        <v>0</v>
      </c>
      <c r="Q137" s="17">
        <f>0</f>
        <v>0</v>
      </c>
      <c r="R137" s="17"/>
      <c r="S137" s="17">
        <f t="shared" si="40"/>
        <v>1364</v>
      </c>
      <c r="T137" s="17">
        <v>1</v>
      </c>
      <c r="U137" s="17">
        <v>-20</v>
      </c>
      <c r="V137" s="17">
        <f>60-31</f>
        <v>29</v>
      </c>
      <c r="W137" s="18">
        <f t="shared" si="43"/>
        <v>0</v>
      </c>
    </row>
    <row r="138" spans="1:23" x14ac:dyDescent="0.2">
      <c r="A138" s="13">
        <v>4</v>
      </c>
      <c r="B138" s="14" t="s">
        <v>28</v>
      </c>
      <c r="C138" s="15"/>
      <c r="D138" s="49">
        <v>970</v>
      </c>
      <c r="E138" s="17">
        <f>66</f>
        <v>66</v>
      </c>
      <c r="F138" s="17">
        <v>0</v>
      </c>
      <c r="G138" s="17">
        <v>0</v>
      </c>
      <c r="H138" s="18">
        <f t="shared" si="41"/>
        <v>0</v>
      </c>
      <c r="I138" s="17">
        <f t="shared" si="38"/>
        <v>1036</v>
      </c>
      <c r="J138" s="17">
        <f>0+1</f>
        <v>1</v>
      </c>
      <c r="K138" s="17">
        <v>0</v>
      </c>
      <c r="L138" s="17">
        <f>0+2</f>
        <v>2</v>
      </c>
      <c r="M138" s="18">
        <f t="shared" si="42"/>
        <v>0</v>
      </c>
      <c r="N138" s="17">
        <f t="shared" si="39"/>
        <v>1039</v>
      </c>
      <c r="O138" s="17">
        <f>0</f>
        <v>0</v>
      </c>
      <c r="P138" s="17">
        <f>0</f>
        <v>0</v>
      </c>
      <c r="Q138" s="17">
        <f>0+47</f>
        <v>47</v>
      </c>
      <c r="R138" s="17"/>
      <c r="S138" s="17">
        <f t="shared" si="40"/>
        <v>1086</v>
      </c>
      <c r="T138" s="17">
        <v>0</v>
      </c>
      <c r="U138" s="17">
        <v>-17</v>
      </c>
      <c r="V138" s="17">
        <f>0-6</f>
        <v>-6</v>
      </c>
      <c r="W138" s="18">
        <f t="shared" si="43"/>
        <v>0</v>
      </c>
    </row>
    <row r="139" spans="1:23" x14ac:dyDescent="0.2">
      <c r="A139" s="13"/>
      <c r="B139" s="19" t="s">
        <v>29</v>
      </c>
      <c r="C139" s="15"/>
      <c r="D139" s="17"/>
      <c r="E139" s="76"/>
      <c r="F139" s="77"/>
      <c r="G139" s="78"/>
      <c r="H139" s="20">
        <f>SUM(H135:H138)</f>
        <v>0</v>
      </c>
      <c r="I139" s="76"/>
      <c r="J139" s="77"/>
      <c r="K139" s="77"/>
      <c r="L139" s="78"/>
      <c r="M139" s="20">
        <f>SUM(M135:M138)</f>
        <v>0</v>
      </c>
      <c r="N139" s="76"/>
      <c r="O139" s="77"/>
      <c r="P139" s="77"/>
      <c r="Q139" s="78"/>
      <c r="R139" s="20">
        <f>SUM(R135:R138)</f>
        <v>0</v>
      </c>
      <c r="S139" s="76"/>
      <c r="T139" s="77"/>
      <c r="U139" s="77"/>
      <c r="V139" s="78"/>
      <c r="W139" s="20">
        <f>SUM(W135:W138)</f>
        <v>0</v>
      </c>
    </row>
    <row r="140" spans="1:23" x14ac:dyDescent="0.2">
      <c r="A140" s="13"/>
      <c r="B140" s="14"/>
      <c r="C140" s="15"/>
      <c r="D140" s="17"/>
      <c r="E140" s="40"/>
      <c r="F140" s="41"/>
      <c r="G140" s="42"/>
      <c r="H140" s="17"/>
      <c r="I140" s="40"/>
      <c r="J140" s="41"/>
      <c r="K140" s="41"/>
      <c r="L140" s="42"/>
      <c r="M140" s="17"/>
      <c r="N140" s="40"/>
      <c r="O140" s="41"/>
      <c r="P140" s="41"/>
      <c r="Q140" s="42"/>
      <c r="R140" s="17"/>
      <c r="S140" s="17"/>
      <c r="T140" s="40"/>
      <c r="U140" s="41"/>
      <c r="V140" s="41"/>
      <c r="W140" s="42"/>
    </row>
    <row r="141" spans="1:23" x14ac:dyDescent="0.2">
      <c r="A141" s="13"/>
      <c r="B141" s="71" t="s">
        <v>30</v>
      </c>
      <c r="C141" s="71"/>
      <c r="D141" s="11" t="s">
        <v>31</v>
      </c>
      <c r="E141" s="79"/>
      <c r="F141" s="80"/>
      <c r="G141" s="81"/>
      <c r="H141" s="17"/>
      <c r="I141" s="79"/>
      <c r="J141" s="80"/>
      <c r="K141" s="80"/>
      <c r="L141" s="81"/>
      <c r="M141" s="17"/>
      <c r="N141" s="79"/>
      <c r="O141" s="80"/>
      <c r="P141" s="80"/>
      <c r="Q141" s="81"/>
      <c r="R141" s="17"/>
      <c r="S141" s="79"/>
      <c r="T141" s="80"/>
      <c r="U141" s="80"/>
      <c r="V141" s="80"/>
      <c r="W141" s="43"/>
    </row>
    <row r="142" spans="1:23" x14ac:dyDescent="0.2">
      <c r="A142" s="13">
        <v>5</v>
      </c>
      <c r="B142" s="12" t="s">
        <v>32</v>
      </c>
      <c r="C142" s="61"/>
      <c r="D142" s="21">
        <v>1</v>
      </c>
      <c r="E142" s="82"/>
      <c r="F142" s="83"/>
      <c r="G142" s="84"/>
      <c r="H142" s="18">
        <f t="shared" ref="H142:H148" si="44">C142*D142*3</f>
        <v>0</v>
      </c>
      <c r="I142" s="82"/>
      <c r="J142" s="83"/>
      <c r="K142" s="83"/>
      <c r="L142" s="84"/>
      <c r="M142" s="18">
        <f t="shared" ref="M142:M148" si="45">C142*D142*3</f>
        <v>0</v>
      </c>
      <c r="N142" s="82"/>
      <c r="O142" s="83"/>
      <c r="P142" s="83"/>
      <c r="Q142" s="84"/>
      <c r="R142" s="18">
        <f t="shared" ref="R142:R148" si="46">C142*D142*3</f>
        <v>0</v>
      </c>
      <c r="S142" s="82"/>
      <c r="T142" s="83"/>
      <c r="U142" s="83"/>
      <c r="V142" s="83"/>
      <c r="W142" s="18">
        <f t="shared" ref="W142:W148" si="47">D142*C142*3</f>
        <v>0</v>
      </c>
    </row>
    <row r="143" spans="1:23" x14ac:dyDescent="0.2">
      <c r="A143" s="13">
        <v>6</v>
      </c>
      <c r="B143" s="12" t="s">
        <v>33</v>
      </c>
      <c r="C143" s="61"/>
      <c r="D143" s="21">
        <v>2</v>
      </c>
      <c r="E143" s="82"/>
      <c r="F143" s="83"/>
      <c r="G143" s="84"/>
      <c r="H143" s="18">
        <f t="shared" si="44"/>
        <v>0</v>
      </c>
      <c r="I143" s="82"/>
      <c r="J143" s="83"/>
      <c r="K143" s="83"/>
      <c r="L143" s="84"/>
      <c r="M143" s="18">
        <f t="shared" si="45"/>
        <v>0</v>
      </c>
      <c r="N143" s="82"/>
      <c r="O143" s="83"/>
      <c r="P143" s="83"/>
      <c r="Q143" s="84"/>
      <c r="R143" s="18">
        <f t="shared" si="46"/>
        <v>0</v>
      </c>
      <c r="S143" s="82"/>
      <c r="T143" s="83"/>
      <c r="U143" s="83"/>
      <c r="V143" s="83"/>
      <c r="W143" s="18">
        <f t="shared" si="47"/>
        <v>0</v>
      </c>
    </row>
    <row r="144" spans="1:23" x14ac:dyDescent="0.2">
      <c r="A144" s="13">
        <v>7</v>
      </c>
      <c r="B144" s="12" t="s">
        <v>34</v>
      </c>
      <c r="C144" s="61"/>
      <c r="D144" s="17">
        <v>2</v>
      </c>
      <c r="E144" s="82"/>
      <c r="F144" s="83"/>
      <c r="G144" s="84"/>
      <c r="H144" s="18">
        <f t="shared" si="44"/>
        <v>0</v>
      </c>
      <c r="I144" s="82"/>
      <c r="J144" s="83"/>
      <c r="K144" s="83"/>
      <c r="L144" s="84"/>
      <c r="M144" s="18">
        <f t="shared" si="45"/>
        <v>0</v>
      </c>
      <c r="N144" s="82"/>
      <c r="O144" s="83"/>
      <c r="P144" s="83"/>
      <c r="Q144" s="84"/>
      <c r="R144" s="18">
        <f t="shared" si="46"/>
        <v>0</v>
      </c>
      <c r="S144" s="82"/>
      <c r="T144" s="83"/>
      <c r="U144" s="83"/>
      <c r="V144" s="83"/>
      <c r="W144" s="18">
        <f t="shared" si="47"/>
        <v>0</v>
      </c>
    </row>
    <row r="145" spans="1:23" x14ac:dyDescent="0.2">
      <c r="A145" s="13">
        <v>8</v>
      </c>
      <c r="B145" s="12" t="s">
        <v>35</v>
      </c>
      <c r="C145" s="61"/>
      <c r="D145" s="17">
        <v>1</v>
      </c>
      <c r="E145" s="82"/>
      <c r="F145" s="83"/>
      <c r="G145" s="84"/>
      <c r="H145" s="18">
        <f t="shared" si="44"/>
        <v>0</v>
      </c>
      <c r="I145" s="82"/>
      <c r="J145" s="83"/>
      <c r="K145" s="83"/>
      <c r="L145" s="84"/>
      <c r="M145" s="18">
        <f t="shared" si="45"/>
        <v>0</v>
      </c>
      <c r="N145" s="82"/>
      <c r="O145" s="83"/>
      <c r="P145" s="83"/>
      <c r="Q145" s="84"/>
      <c r="R145" s="18">
        <f t="shared" si="46"/>
        <v>0</v>
      </c>
      <c r="S145" s="82"/>
      <c r="T145" s="83"/>
      <c r="U145" s="83"/>
      <c r="V145" s="83"/>
      <c r="W145" s="18">
        <f t="shared" si="47"/>
        <v>0</v>
      </c>
    </row>
    <row r="146" spans="1:23" ht="24" x14ac:dyDescent="0.2">
      <c r="A146" s="13">
        <v>9</v>
      </c>
      <c r="B146" s="12" t="s">
        <v>36</v>
      </c>
      <c r="C146" s="61"/>
      <c r="D146" s="17">
        <v>1</v>
      </c>
      <c r="E146" s="82"/>
      <c r="F146" s="83"/>
      <c r="G146" s="84"/>
      <c r="H146" s="18">
        <f t="shared" si="44"/>
        <v>0</v>
      </c>
      <c r="I146" s="82"/>
      <c r="J146" s="83"/>
      <c r="K146" s="83"/>
      <c r="L146" s="84"/>
      <c r="M146" s="18">
        <f t="shared" si="45"/>
        <v>0</v>
      </c>
      <c r="N146" s="82"/>
      <c r="O146" s="83"/>
      <c r="P146" s="83"/>
      <c r="Q146" s="84"/>
      <c r="R146" s="18">
        <f t="shared" si="46"/>
        <v>0</v>
      </c>
      <c r="S146" s="82"/>
      <c r="T146" s="83"/>
      <c r="U146" s="83"/>
      <c r="V146" s="83"/>
      <c r="W146" s="18">
        <f t="shared" si="47"/>
        <v>0</v>
      </c>
    </row>
    <row r="147" spans="1:23" ht="24" x14ac:dyDescent="0.2">
      <c r="A147" s="13">
        <v>10</v>
      </c>
      <c r="B147" s="12" t="s">
        <v>37</v>
      </c>
      <c r="C147" s="61"/>
      <c r="D147" s="17">
        <v>30</v>
      </c>
      <c r="E147" s="82"/>
      <c r="F147" s="83"/>
      <c r="G147" s="84"/>
      <c r="H147" s="18">
        <f t="shared" si="44"/>
        <v>0</v>
      </c>
      <c r="I147" s="82"/>
      <c r="J147" s="83"/>
      <c r="K147" s="83"/>
      <c r="L147" s="84"/>
      <c r="M147" s="18">
        <f t="shared" si="45"/>
        <v>0</v>
      </c>
      <c r="N147" s="82"/>
      <c r="O147" s="83"/>
      <c r="P147" s="83"/>
      <c r="Q147" s="84"/>
      <c r="R147" s="18">
        <f t="shared" si="46"/>
        <v>0</v>
      </c>
      <c r="S147" s="82"/>
      <c r="T147" s="83"/>
      <c r="U147" s="83"/>
      <c r="V147" s="83"/>
      <c r="W147" s="18">
        <f t="shared" si="47"/>
        <v>0</v>
      </c>
    </row>
    <row r="148" spans="1:23" ht="30.75" customHeight="1" x14ac:dyDescent="0.2">
      <c r="A148" s="13"/>
      <c r="B148" s="14" t="s">
        <v>88</v>
      </c>
      <c r="C148" s="70"/>
      <c r="D148" s="17">
        <v>4</v>
      </c>
      <c r="E148" s="64"/>
      <c r="F148" s="65"/>
      <c r="G148" s="66"/>
      <c r="H148" s="18">
        <f t="shared" si="44"/>
        <v>0</v>
      </c>
      <c r="I148" s="64"/>
      <c r="J148" s="65"/>
      <c r="K148" s="65"/>
      <c r="L148" s="66"/>
      <c r="M148" s="18">
        <f t="shared" si="45"/>
        <v>0</v>
      </c>
      <c r="N148" s="64"/>
      <c r="O148" s="65"/>
      <c r="P148" s="65"/>
      <c r="Q148" s="66"/>
      <c r="R148" s="18">
        <f t="shared" si="46"/>
        <v>0</v>
      </c>
      <c r="S148" s="64"/>
      <c r="T148" s="65"/>
      <c r="U148" s="65"/>
      <c r="V148" s="65"/>
      <c r="W148" s="18">
        <f t="shared" si="47"/>
        <v>0</v>
      </c>
    </row>
    <row r="149" spans="1:23" ht="24" x14ac:dyDescent="0.2">
      <c r="A149" s="13"/>
      <c r="B149" s="19" t="s">
        <v>38</v>
      </c>
      <c r="C149" s="21"/>
      <c r="D149" s="17"/>
      <c r="E149" s="17"/>
      <c r="F149" s="17"/>
      <c r="G149" s="17"/>
      <c r="H149" s="63">
        <f>SUM(H142:H148)</f>
        <v>0</v>
      </c>
      <c r="I149" s="17"/>
      <c r="J149" s="17"/>
      <c r="K149" s="17"/>
      <c r="L149" s="17"/>
      <c r="M149" s="63">
        <f>SUM(M142:M148)</f>
        <v>0</v>
      </c>
      <c r="N149" s="17"/>
      <c r="O149" s="17"/>
      <c r="P149" s="17"/>
      <c r="Q149" s="17"/>
      <c r="R149" s="20">
        <f>SUM(R142:R148)</f>
        <v>0</v>
      </c>
      <c r="S149" s="17"/>
      <c r="T149" s="17"/>
      <c r="U149" s="17"/>
      <c r="V149" s="17"/>
      <c r="W149" s="20">
        <f>SUM(W142:W148)</f>
        <v>0</v>
      </c>
    </row>
    <row r="150" spans="1:23" x14ac:dyDescent="0.2">
      <c r="A150" s="13"/>
      <c r="B150" s="36"/>
      <c r="C150" s="36"/>
      <c r="D150" s="36"/>
      <c r="E150" s="37"/>
      <c r="F150" s="37"/>
      <c r="G150" s="37"/>
      <c r="H150" s="37"/>
      <c r="I150" s="37"/>
      <c r="J150" s="37"/>
      <c r="K150" s="37"/>
      <c r="L150" s="37"/>
      <c r="M150" s="37"/>
      <c r="N150" s="37"/>
      <c r="O150" s="44"/>
      <c r="P150" s="6"/>
      <c r="Q150" s="6"/>
      <c r="R150" s="6"/>
      <c r="S150" s="6"/>
      <c r="T150" s="6"/>
      <c r="U150" s="6"/>
      <c r="V150" s="6"/>
      <c r="W150" s="6"/>
    </row>
    <row r="151" spans="1:23" x14ac:dyDescent="0.2">
      <c r="A151" s="4"/>
      <c r="B151" s="91" t="s">
        <v>52</v>
      </c>
      <c r="C151" s="92"/>
      <c r="D151" s="92"/>
      <c r="E151" s="92"/>
      <c r="F151" s="92"/>
      <c r="G151" s="92"/>
      <c r="H151" s="92"/>
      <c r="I151" s="92"/>
      <c r="J151" s="92"/>
      <c r="K151" s="92"/>
      <c r="L151" s="92"/>
      <c r="M151" s="92"/>
      <c r="N151" s="92"/>
      <c r="O151" s="92"/>
      <c r="P151" s="92"/>
      <c r="Q151" s="92"/>
      <c r="R151" s="92"/>
      <c r="S151" s="92"/>
      <c r="T151" s="92"/>
      <c r="U151" s="92"/>
      <c r="V151" s="92"/>
      <c r="W151" s="94"/>
    </row>
    <row r="152" spans="1:23" x14ac:dyDescent="0.2">
      <c r="A152" s="4"/>
      <c r="B152" s="5"/>
      <c r="C152" s="5"/>
      <c r="D152" s="5"/>
      <c r="E152" s="72" t="s">
        <v>1</v>
      </c>
      <c r="F152" s="73"/>
      <c r="G152" s="74"/>
      <c r="H152" s="5"/>
      <c r="I152" s="5"/>
      <c r="J152" s="75" t="s">
        <v>2</v>
      </c>
      <c r="K152" s="75"/>
      <c r="L152" s="75"/>
      <c r="M152" s="5"/>
      <c r="N152" s="5"/>
      <c r="O152" s="75" t="s">
        <v>3</v>
      </c>
      <c r="P152" s="75"/>
      <c r="Q152" s="75"/>
      <c r="R152" s="5"/>
      <c r="S152" s="5"/>
      <c r="T152" s="75" t="s">
        <v>4</v>
      </c>
      <c r="U152" s="75"/>
      <c r="V152" s="75"/>
      <c r="W152" s="5"/>
    </row>
    <row r="153" spans="1:23" ht="24" x14ac:dyDescent="0.2">
      <c r="A153" s="13"/>
      <c r="B153" s="23"/>
      <c r="C153" s="10" t="s">
        <v>7</v>
      </c>
      <c r="D153" s="93"/>
      <c r="E153" s="7">
        <v>47209</v>
      </c>
      <c r="F153" s="7">
        <v>47239</v>
      </c>
      <c r="G153" s="7">
        <v>47270</v>
      </c>
      <c r="H153" s="12" t="s">
        <v>12</v>
      </c>
      <c r="I153" s="1"/>
      <c r="J153" s="7">
        <v>47300</v>
      </c>
      <c r="K153" s="7">
        <v>47331</v>
      </c>
      <c r="L153" s="7">
        <v>47362</v>
      </c>
      <c r="M153" s="12" t="s">
        <v>12</v>
      </c>
      <c r="N153" s="17"/>
      <c r="O153" s="7">
        <v>47392</v>
      </c>
      <c r="P153" s="7">
        <v>47423</v>
      </c>
      <c r="Q153" s="7">
        <v>47453</v>
      </c>
      <c r="R153" s="12" t="s">
        <v>12</v>
      </c>
      <c r="S153" s="12"/>
      <c r="T153" s="7">
        <v>47484</v>
      </c>
      <c r="U153" s="7">
        <v>47515</v>
      </c>
      <c r="V153" s="7">
        <v>47543</v>
      </c>
      <c r="W153" s="12" t="s">
        <v>12</v>
      </c>
    </row>
    <row r="154" spans="1:23" x14ac:dyDescent="0.2">
      <c r="A154" s="13">
        <v>11</v>
      </c>
      <c r="B154" s="12" t="s">
        <v>40</v>
      </c>
      <c r="C154" s="12"/>
      <c r="D154" s="93"/>
      <c r="E154" s="17">
        <f>1549+10</f>
        <v>1559</v>
      </c>
      <c r="F154" s="17">
        <f>1559+44</f>
        <v>1603</v>
      </c>
      <c r="G154" s="17">
        <f>1603</f>
        <v>1603</v>
      </c>
      <c r="H154" s="62">
        <f>(E154+F154+G154)*C154</f>
        <v>0</v>
      </c>
      <c r="I154" s="17"/>
      <c r="J154" s="17">
        <f>1603</f>
        <v>1603</v>
      </c>
      <c r="K154" s="17">
        <f>1603</f>
        <v>1603</v>
      </c>
      <c r="L154" s="17">
        <f>1603</f>
        <v>1603</v>
      </c>
      <c r="M154" s="62">
        <f>(J154+K154+L154)*C154</f>
        <v>0</v>
      </c>
      <c r="N154" s="17"/>
      <c r="O154" s="17">
        <f>1603</f>
        <v>1603</v>
      </c>
      <c r="P154" s="17">
        <f>1601-2</f>
        <v>1599</v>
      </c>
      <c r="Q154" s="17">
        <f>1601</f>
        <v>1601</v>
      </c>
      <c r="R154" s="62">
        <f>(O154+P154+Q154)*C154</f>
        <v>0</v>
      </c>
      <c r="S154" s="17"/>
      <c r="T154" s="17">
        <f>1599-2</f>
        <v>1597</v>
      </c>
      <c r="U154" s="17">
        <f>1599+40</f>
        <v>1639</v>
      </c>
      <c r="V154" s="17">
        <f>1488-151+2</f>
        <v>1339</v>
      </c>
      <c r="W154" s="62">
        <f>(T154+U154+V154)*C154</f>
        <v>0</v>
      </c>
    </row>
    <row r="155" spans="1:23" x14ac:dyDescent="0.2">
      <c r="A155" s="13">
        <v>12</v>
      </c>
      <c r="B155" s="14" t="s">
        <v>41</v>
      </c>
      <c r="C155" s="12"/>
      <c r="D155" s="93"/>
      <c r="E155" s="17">
        <f>3295+14</f>
        <v>3309</v>
      </c>
      <c r="F155" s="17">
        <f>3309+102</f>
        <v>3411</v>
      </c>
      <c r="G155" s="17">
        <f>3411</f>
        <v>3411</v>
      </c>
      <c r="H155" s="62">
        <f>(E155+F155+G155)*C155</f>
        <v>0</v>
      </c>
      <c r="I155" s="17"/>
      <c r="J155" s="17">
        <f>3411</f>
        <v>3411</v>
      </c>
      <c r="K155" s="17">
        <f>3409-2</f>
        <v>3407</v>
      </c>
      <c r="L155" s="17">
        <f>3409</f>
        <v>3409</v>
      </c>
      <c r="M155" s="62">
        <f>(J155+K155+L155)*C155</f>
        <v>0</v>
      </c>
      <c r="N155" s="17"/>
      <c r="O155" s="17">
        <f>3409</f>
        <v>3409</v>
      </c>
      <c r="P155" s="17">
        <f>3409</f>
        <v>3409</v>
      </c>
      <c r="Q155" s="17">
        <f>3408-1</f>
        <v>3407</v>
      </c>
      <c r="R155" s="62">
        <f>(O155+P155+Q155)*C155</f>
        <v>0</v>
      </c>
      <c r="S155" s="17"/>
      <c r="T155" s="17">
        <f>3179-219</f>
        <v>2960</v>
      </c>
      <c r="U155" s="17">
        <f>3152-37+47</f>
        <v>3162</v>
      </c>
      <c r="V155" s="17">
        <f>3189-10+23</f>
        <v>3202</v>
      </c>
      <c r="W155" s="62">
        <f>(T155+U155+V155)*C155</f>
        <v>0</v>
      </c>
    </row>
    <row r="156" spans="1:23" ht="24" x14ac:dyDescent="0.2">
      <c r="A156" s="13"/>
      <c r="B156" s="24" t="s">
        <v>42</v>
      </c>
      <c r="C156" s="12"/>
      <c r="D156" s="93"/>
      <c r="E156" s="76"/>
      <c r="F156" s="77"/>
      <c r="G156" s="78"/>
      <c r="H156" s="63">
        <f>SUM(H154:H155)</f>
        <v>0</v>
      </c>
      <c r="I156" s="76"/>
      <c r="J156" s="77"/>
      <c r="K156" s="77"/>
      <c r="L156" s="78"/>
      <c r="M156" s="20">
        <f>SUM(M154:M155)</f>
        <v>0</v>
      </c>
      <c r="N156" s="76"/>
      <c r="O156" s="77"/>
      <c r="P156" s="77"/>
      <c r="Q156" s="78"/>
      <c r="R156" s="20">
        <f>SUM(R154:R155)</f>
        <v>0</v>
      </c>
      <c r="S156" s="76"/>
      <c r="T156" s="77"/>
      <c r="U156" s="77"/>
      <c r="V156" s="78"/>
      <c r="W156" s="20">
        <f>SUM(W154:W155)</f>
        <v>0</v>
      </c>
    </row>
    <row r="157" spans="1:23" x14ac:dyDescent="0.2">
      <c r="A157" s="88" t="s">
        <v>43</v>
      </c>
      <c r="B157" s="89"/>
      <c r="C157" s="89"/>
      <c r="D157" s="89"/>
      <c r="E157" s="89"/>
      <c r="F157" s="89"/>
      <c r="G157" s="90"/>
      <c r="H157" s="26">
        <f>H139+H149+H156</f>
        <v>0</v>
      </c>
      <c r="I157" s="12"/>
      <c r="J157" s="12"/>
      <c r="K157" s="12"/>
      <c r="L157" s="12"/>
      <c r="M157" s="26">
        <f>M139+M149+M156</f>
        <v>0</v>
      </c>
      <c r="N157" s="12"/>
      <c r="O157" s="12"/>
      <c r="P157" s="12"/>
      <c r="Q157" s="12"/>
      <c r="R157" s="26">
        <f>R139+R149+R156</f>
        <v>0</v>
      </c>
      <c r="S157" s="12"/>
      <c r="T157" s="12"/>
      <c r="U157" s="12"/>
      <c r="V157" s="12"/>
      <c r="W157" s="26">
        <f>W139+W149+W156</f>
        <v>0</v>
      </c>
    </row>
    <row r="158" spans="1:23" x14ac:dyDescent="0.2">
      <c r="A158" s="13"/>
      <c r="B158" s="36"/>
      <c r="C158" s="36"/>
      <c r="D158" s="36"/>
      <c r="E158" s="37"/>
      <c r="F158" s="37"/>
      <c r="G158" s="37"/>
      <c r="H158" s="37"/>
      <c r="I158" s="37"/>
      <c r="J158" s="37"/>
      <c r="K158" s="37"/>
      <c r="L158" s="37"/>
      <c r="M158" s="37"/>
      <c r="N158" s="37"/>
      <c r="O158" s="44"/>
      <c r="P158" s="6"/>
      <c r="Q158" s="6"/>
      <c r="R158" s="6"/>
      <c r="S158" s="6"/>
      <c r="T158" s="6"/>
      <c r="U158" s="6"/>
      <c r="V158" s="6"/>
      <c r="W158" s="6"/>
    </row>
    <row r="159" spans="1:23" x14ac:dyDescent="0.2">
      <c r="A159" s="13"/>
      <c r="B159" s="36"/>
      <c r="C159" s="36"/>
      <c r="D159" s="36"/>
      <c r="E159" s="37"/>
      <c r="F159" s="37"/>
      <c r="G159" s="37"/>
      <c r="H159" s="37"/>
      <c r="I159" s="37"/>
      <c r="J159" s="37"/>
      <c r="K159" s="37"/>
      <c r="L159" s="37"/>
      <c r="M159" s="37"/>
      <c r="N159" s="37"/>
      <c r="O159" s="44"/>
      <c r="P159" s="6"/>
      <c r="Q159" s="6"/>
      <c r="R159" s="6"/>
      <c r="S159" s="6"/>
      <c r="T159" s="6"/>
      <c r="U159" s="6"/>
      <c r="V159" s="6"/>
      <c r="W159" s="6"/>
    </row>
    <row r="160" spans="1:23" x14ac:dyDescent="0.2">
      <c r="A160" s="27"/>
      <c r="B160" s="38"/>
      <c r="C160" s="38"/>
      <c r="D160" s="38"/>
      <c r="E160" s="39"/>
      <c r="F160" s="39"/>
      <c r="G160" s="39"/>
      <c r="H160" s="39"/>
      <c r="I160" s="39"/>
      <c r="J160" s="39"/>
      <c r="K160" s="39"/>
      <c r="L160" s="39"/>
      <c r="M160" s="39"/>
      <c r="N160" s="39"/>
      <c r="O160" s="45"/>
      <c r="P160" s="46"/>
      <c r="Q160" s="46"/>
      <c r="R160" s="46"/>
      <c r="S160" s="46"/>
      <c r="T160" s="46"/>
      <c r="U160" s="46"/>
      <c r="V160" s="46"/>
      <c r="W160" s="46"/>
    </row>
    <row r="161" spans="1:23" x14ac:dyDescent="0.2">
      <c r="A161" s="13"/>
      <c r="B161" s="101"/>
      <c r="C161" s="101"/>
      <c r="D161" s="101"/>
      <c r="E161" s="101"/>
      <c r="F161" s="101"/>
      <c r="G161" s="101"/>
      <c r="H161" s="101"/>
      <c r="I161" s="101"/>
      <c r="J161" s="101"/>
      <c r="K161" s="101"/>
      <c r="L161" s="101"/>
      <c r="M161" s="101"/>
      <c r="N161" s="101"/>
      <c r="O161" s="102"/>
      <c r="P161" s="6"/>
      <c r="Q161" s="6"/>
      <c r="R161" s="6"/>
      <c r="S161" s="6"/>
      <c r="T161" s="6"/>
      <c r="U161" s="6"/>
      <c r="V161" s="6"/>
      <c r="W161" s="6"/>
    </row>
    <row r="163" spans="1:23" x14ac:dyDescent="0.2">
      <c r="B163" s="50"/>
      <c r="C163" s="103" t="s">
        <v>53</v>
      </c>
      <c r="D163" s="103"/>
      <c r="E163" s="47"/>
      <c r="F163" s="47"/>
      <c r="G163" s="6"/>
      <c r="H163" s="6"/>
      <c r="I163" s="6"/>
      <c r="J163" s="6"/>
      <c r="K163" s="6"/>
      <c r="L163" s="6"/>
      <c r="M163" s="6"/>
      <c r="N163" s="6"/>
      <c r="O163" s="6"/>
    </row>
    <row r="164" spans="1:23" ht="24" x14ac:dyDescent="0.2">
      <c r="B164" s="50" t="s">
        <v>89</v>
      </c>
      <c r="C164" s="104"/>
      <c r="D164" s="104"/>
      <c r="E164" s="47"/>
      <c r="F164" s="47"/>
      <c r="G164" s="6"/>
      <c r="H164" s="6"/>
      <c r="I164" s="6"/>
      <c r="J164" s="6"/>
      <c r="K164" s="6"/>
      <c r="L164" s="6"/>
      <c r="M164" s="6"/>
      <c r="N164" s="6"/>
      <c r="O164" s="6"/>
    </row>
    <row r="165" spans="1:23" x14ac:dyDescent="0.2">
      <c r="B165" s="5"/>
      <c r="C165" s="51"/>
      <c r="D165" s="51"/>
      <c r="E165" s="47"/>
      <c r="F165" s="47"/>
      <c r="G165" s="6"/>
      <c r="H165" s="6"/>
      <c r="I165" s="6"/>
      <c r="J165" s="6"/>
      <c r="K165" s="6"/>
      <c r="L165" s="6"/>
      <c r="M165" s="6"/>
      <c r="N165" s="6"/>
      <c r="O165" s="6"/>
    </row>
    <row r="166" spans="1:23" x14ac:dyDescent="0.2">
      <c r="B166" s="50" t="s">
        <v>54</v>
      </c>
      <c r="C166" s="52" t="s">
        <v>1</v>
      </c>
      <c r="D166" s="52" t="s">
        <v>2</v>
      </c>
      <c r="E166" s="53" t="s">
        <v>3</v>
      </c>
      <c r="F166" s="53" t="s">
        <v>4</v>
      </c>
      <c r="G166" s="50" t="s">
        <v>55</v>
      </c>
      <c r="H166" s="50" t="s">
        <v>56</v>
      </c>
      <c r="I166" s="50" t="s">
        <v>57</v>
      </c>
      <c r="J166" s="50" t="s">
        <v>58</v>
      </c>
      <c r="K166" s="50" t="s">
        <v>59</v>
      </c>
      <c r="L166" s="50" t="s">
        <v>60</v>
      </c>
      <c r="M166" s="50" t="s">
        <v>61</v>
      </c>
      <c r="N166" s="50" t="s">
        <v>62</v>
      </c>
      <c r="O166" s="50" t="s">
        <v>63</v>
      </c>
      <c r="P166" s="50" t="s">
        <v>64</v>
      </c>
      <c r="Q166" s="50" t="s">
        <v>65</v>
      </c>
      <c r="R166" s="50" t="s">
        <v>66</v>
      </c>
      <c r="S166" s="50" t="s">
        <v>67</v>
      </c>
      <c r="T166" s="50" t="s">
        <v>68</v>
      </c>
      <c r="U166" s="50" t="s">
        <v>69</v>
      </c>
      <c r="V166" s="50" t="s">
        <v>70</v>
      </c>
    </row>
    <row r="167" spans="1:23" x14ac:dyDescent="0.2">
      <c r="B167" s="50" t="s">
        <v>71</v>
      </c>
      <c r="C167" s="52">
        <f>SUM(H29+C164)</f>
        <v>0</v>
      </c>
      <c r="D167" s="52">
        <f>SUM(M29+C164)</f>
        <v>0</v>
      </c>
      <c r="E167" s="54">
        <f>SUM(R29+C164)</f>
        <v>0</v>
      </c>
      <c r="F167" s="54">
        <f>SUM(W29+C164)</f>
        <v>0</v>
      </c>
      <c r="G167" s="52">
        <f>SUM(H61+C164)</f>
        <v>0</v>
      </c>
      <c r="H167" s="52">
        <f>SUM(M61+C164)</f>
        <v>0</v>
      </c>
      <c r="I167" s="52">
        <f>SUM(R61+C164)</f>
        <v>0</v>
      </c>
      <c r="J167" s="52">
        <f>SUM(W61+C164)</f>
        <v>0</v>
      </c>
      <c r="K167" s="52">
        <f>SUM(H93+C164)</f>
        <v>0</v>
      </c>
      <c r="L167" s="52">
        <f>SUM(M93+C164)</f>
        <v>0</v>
      </c>
      <c r="M167" s="52">
        <f>SUM(R93+C164)</f>
        <v>0</v>
      </c>
      <c r="N167" s="52">
        <f>SUM(W93+C164)</f>
        <v>0</v>
      </c>
      <c r="O167" s="52">
        <f>SUM(H125+C164)</f>
        <v>0</v>
      </c>
      <c r="P167" s="52">
        <f>SUM(M125+C164)</f>
        <v>0</v>
      </c>
      <c r="Q167" s="52">
        <f>SUM(R125+C164)</f>
        <v>0</v>
      </c>
      <c r="R167" s="52">
        <f>SUM(W125+C164)</f>
        <v>0</v>
      </c>
      <c r="S167" s="52">
        <f>SUM(H157+C164)</f>
        <v>0</v>
      </c>
      <c r="T167" s="52">
        <f>SUM(M157+C164)</f>
        <v>0</v>
      </c>
      <c r="U167" s="52">
        <f>SUM(R157+C164)</f>
        <v>0</v>
      </c>
      <c r="V167" s="52">
        <f>SUM(W157+C164)</f>
        <v>0</v>
      </c>
    </row>
    <row r="168" spans="1:23" x14ac:dyDescent="0.2">
      <c r="B168" s="50" t="s">
        <v>72</v>
      </c>
      <c r="C168" s="105">
        <f>SUM(C167+D167+E167+F167)</f>
        <v>0</v>
      </c>
      <c r="D168" s="105"/>
      <c r="E168" s="105"/>
      <c r="F168" s="105"/>
      <c r="G168" s="105">
        <f>SUM(G167+H167+I167+J167)</f>
        <v>0</v>
      </c>
      <c r="H168" s="105"/>
      <c r="I168" s="105"/>
      <c r="J168" s="105"/>
      <c r="K168" s="105">
        <f>SUM(K167+L167+M167+N167)</f>
        <v>0</v>
      </c>
      <c r="L168" s="105"/>
      <c r="M168" s="105"/>
      <c r="N168" s="105"/>
      <c r="O168" s="105">
        <f>SUM(O167+P167+Q167+R167)</f>
        <v>0</v>
      </c>
      <c r="P168" s="105"/>
      <c r="Q168" s="105"/>
      <c r="R168" s="105"/>
      <c r="S168" s="105">
        <f>SUM(S167+T167+U167+V167)</f>
        <v>0</v>
      </c>
      <c r="T168" s="105"/>
      <c r="U168" s="105"/>
      <c r="V168" s="105"/>
    </row>
    <row r="169" spans="1:23" x14ac:dyDescent="0.2">
      <c r="B169" s="50" t="s">
        <v>73</v>
      </c>
      <c r="C169" s="112">
        <f>C168+G168+K168+O168+S168</f>
        <v>0</v>
      </c>
      <c r="D169" s="113"/>
      <c r="E169" s="113"/>
      <c r="F169" s="113"/>
      <c r="G169" s="113"/>
      <c r="H169" s="113"/>
      <c r="I169" s="113"/>
      <c r="J169" s="113"/>
      <c r="K169" s="113"/>
      <c r="L169" s="113"/>
      <c r="M169" s="113"/>
      <c r="N169" s="113"/>
      <c r="O169" s="113"/>
      <c r="P169" s="113"/>
      <c r="Q169" s="113"/>
      <c r="R169" s="113"/>
      <c r="S169" s="113"/>
      <c r="T169" s="113"/>
      <c r="U169" s="113"/>
      <c r="V169" s="113"/>
    </row>
    <row r="170" spans="1:23" x14ac:dyDescent="0.2">
      <c r="B170" s="5"/>
      <c r="C170" s="5"/>
      <c r="D170" s="5"/>
      <c r="E170" s="5"/>
      <c r="F170" s="5"/>
      <c r="G170" s="6"/>
      <c r="H170" s="6"/>
      <c r="I170" s="6"/>
      <c r="J170" s="6"/>
      <c r="K170" s="6"/>
      <c r="L170" s="6"/>
      <c r="M170" s="6"/>
      <c r="N170" s="6"/>
      <c r="O170" s="6"/>
    </row>
    <row r="171" spans="1:23" x14ac:dyDescent="0.2">
      <c r="B171" s="114" t="s">
        <v>74</v>
      </c>
      <c r="C171" s="114"/>
      <c r="D171" s="5"/>
      <c r="E171" s="5"/>
      <c r="F171" s="5"/>
      <c r="G171" s="6"/>
      <c r="H171" s="6"/>
      <c r="I171" s="6"/>
      <c r="J171" s="6"/>
      <c r="K171" s="6"/>
      <c r="L171" s="6"/>
      <c r="M171" s="6"/>
      <c r="N171" s="6"/>
      <c r="O171" s="6"/>
    </row>
    <row r="172" spans="1:23" ht="24" x14ac:dyDescent="0.2">
      <c r="B172" s="55" t="s">
        <v>75</v>
      </c>
      <c r="C172" s="56"/>
      <c r="D172" s="5"/>
      <c r="E172" s="6"/>
      <c r="F172" s="6"/>
      <c r="G172" s="6"/>
      <c r="H172" s="6"/>
      <c r="I172" s="6"/>
      <c r="J172" s="6"/>
      <c r="K172" s="6"/>
      <c r="L172" s="6"/>
      <c r="M172" s="6"/>
      <c r="N172" s="6"/>
      <c r="O172" s="6"/>
    </row>
    <row r="173" spans="1:23" ht="24" x14ac:dyDescent="0.2">
      <c r="B173" s="55" t="s">
        <v>76</v>
      </c>
      <c r="C173" s="56"/>
      <c r="D173" s="5"/>
      <c r="E173" s="6"/>
      <c r="F173" s="6"/>
      <c r="G173" s="6"/>
      <c r="H173" s="6"/>
      <c r="I173" s="6"/>
      <c r="J173" s="6"/>
      <c r="K173" s="6"/>
      <c r="L173" s="6"/>
      <c r="M173" s="6"/>
      <c r="N173" s="6"/>
      <c r="O173" s="6"/>
      <c r="R173" s="57"/>
    </row>
    <row r="175" spans="1:23" x14ac:dyDescent="0.2">
      <c r="B175" s="58" t="s">
        <v>77</v>
      </c>
    </row>
    <row r="176" spans="1:23" ht="35.25" customHeight="1" x14ac:dyDescent="0.2">
      <c r="B176" s="115" t="s">
        <v>78</v>
      </c>
      <c r="C176" s="115"/>
      <c r="D176" s="115"/>
      <c r="E176" s="115"/>
      <c r="F176" s="115"/>
      <c r="G176" s="115"/>
      <c r="H176" s="115"/>
      <c r="I176" s="115"/>
      <c r="J176" s="115"/>
      <c r="K176" s="115"/>
      <c r="L176" s="115"/>
    </row>
    <row r="177" spans="2:12" ht="23.25" customHeight="1" x14ac:dyDescent="0.2">
      <c r="B177" s="116" t="s">
        <v>79</v>
      </c>
      <c r="C177" s="117"/>
      <c r="D177" s="117"/>
      <c r="E177" s="117"/>
      <c r="F177" s="117"/>
      <c r="G177" s="117"/>
      <c r="H177" s="117"/>
      <c r="I177" s="117"/>
      <c r="J177" s="117"/>
      <c r="K177" s="117"/>
      <c r="L177" s="118"/>
    </row>
    <row r="178" spans="2:12" ht="30.75" customHeight="1" x14ac:dyDescent="0.2">
      <c r="B178" s="119" t="s">
        <v>80</v>
      </c>
      <c r="C178" s="120"/>
      <c r="D178" s="120"/>
      <c r="E178" s="120"/>
      <c r="F178" s="120"/>
      <c r="G178" s="120"/>
      <c r="H178" s="120"/>
      <c r="I178" s="120"/>
      <c r="J178" s="120"/>
      <c r="K178" s="120"/>
      <c r="L178" s="121"/>
    </row>
    <row r="179" spans="2:12" x14ac:dyDescent="0.2">
      <c r="B179" s="108" t="s">
        <v>81</v>
      </c>
      <c r="C179" s="109"/>
      <c r="D179" s="109"/>
      <c r="E179" s="109"/>
      <c r="F179" s="109"/>
      <c r="G179" s="109"/>
      <c r="H179" s="109"/>
    </row>
    <row r="180" spans="2:12" x14ac:dyDescent="0.2">
      <c r="B180" s="110" t="s">
        <v>82</v>
      </c>
      <c r="C180" s="110"/>
      <c r="D180" s="110"/>
      <c r="E180" s="59"/>
      <c r="F180" s="59"/>
      <c r="G180" s="59"/>
      <c r="H180" s="59"/>
      <c r="I180" s="59"/>
    </row>
    <row r="181" spans="2:12" x14ac:dyDescent="0.2">
      <c r="B181" s="111" t="s">
        <v>83</v>
      </c>
      <c r="C181" s="111"/>
      <c r="D181" s="111"/>
      <c r="E181" s="111"/>
      <c r="F181" s="111"/>
      <c r="G181" s="111"/>
      <c r="H181" s="111"/>
      <c r="I181" s="111"/>
      <c r="J181" s="111"/>
      <c r="K181" s="111"/>
      <c r="L181" s="111"/>
    </row>
    <row r="182" spans="2:12" x14ac:dyDescent="0.2">
      <c r="B182" s="111" t="s">
        <v>84</v>
      </c>
      <c r="C182" s="111"/>
      <c r="D182" s="111"/>
      <c r="E182" s="111"/>
      <c r="F182" s="111"/>
      <c r="G182" s="111"/>
      <c r="H182" s="111"/>
      <c r="I182" s="111"/>
      <c r="J182" s="111"/>
      <c r="K182" s="111"/>
      <c r="L182" s="111"/>
    </row>
    <row r="183" spans="2:12" x14ac:dyDescent="0.2">
      <c r="B183" s="111" t="s">
        <v>85</v>
      </c>
      <c r="C183" s="111"/>
      <c r="D183" s="111"/>
      <c r="E183" s="111"/>
      <c r="F183" s="111"/>
      <c r="G183" s="111"/>
      <c r="H183" s="111"/>
      <c r="I183" s="111"/>
      <c r="J183" s="111"/>
      <c r="K183" s="111"/>
      <c r="L183" s="111"/>
    </row>
    <row r="184" spans="2:12" x14ac:dyDescent="0.2">
      <c r="B184" s="106" t="s">
        <v>86</v>
      </c>
      <c r="C184" s="106"/>
      <c r="D184" s="106"/>
      <c r="E184" s="106"/>
      <c r="F184" s="106"/>
      <c r="G184" s="106"/>
      <c r="H184" s="106"/>
      <c r="I184" s="106"/>
      <c r="J184" s="106"/>
      <c r="K184" s="106"/>
      <c r="L184" s="106"/>
    </row>
    <row r="185" spans="2:12" x14ac:dyDescent="0.2">
      <c r="B185" s="106" t="s">
        <v>87</v>
      </c>
      <c r="C185" s="107"/>
      <c r="D185" s="107"/>
      <c r="E185" s="107"/>
      <c r="F185" s="107"/>
      <c r="G185" s="107"/>
      <c r="H185" s="107"/>
      <c r="I185" s="107"/>
      <c r="J185" s="107"/>
      <c r="K185" s="107"/>
      <c r="L185" s="107"/>
    </row>
    <row r="186" spans="2:12" x14ac:dyDescent="0.2">
      <c r="I186" s="60"/>
    </row>
  </sheetData>
  <mergeCells count="152">
    <mergeCell ref="B185:L185"/>
    <mergeCell ref="B179:H179"/>
    <mergeCell ref="B180:D180"/>
    <mergeCell ref="B181:L181"/>
    <mergeCell ref="B182:L182"/>
    <mergeCell ref="B183:L183"/>
    <mergeCell ref="B184:L184"/>
    <mergeCell ref="S168:V168"/>
    <mergeCell ref="C169:V169"/>
    <mergeCell ref="B171:C171"/>
    <mergeCell ref="B176:L176"/>
    <mergeCell ref="B177:L177"/>
    <mergeCell ref="B178:L178"/>
    <mergeCell ref="A157:G157"/>
    <mergeCell ref="B161:O161"/>
    <mergeCell ref="C163:D163"/>
    <mergeCell ref="C164:D164"/>
    <mergeCell ref="C168:F168"/>
    <mergeCell ref="G168:J168"/>
    <mergeCell ref="K168:N168"/>
    <mergeCell ref="O168:R168"/>
    <mergeCell ref="B151:W151"/>
    <mergeCell ref="E152:G152"/>
    <mergeCell ref="J152:L152"/>
    <mergeCell ref="O152:Q152"/>
    <mergeCell ref="T152:V152"/>
    <mergeCell ref="D153:D156"/>
    <mergeCell ref="E156:G156"/>
    <mergeCell ref="I156:L156"/>
    <mergeCell ref="N156:Q156"/>
    <mergeCell ref="S156:V156"/>
    <mergeCell ref="B134:C134"/>
    <mergeCell ref="E139:G139"/>
    <mergeCell ref="I139:L139"/>
    <mergeCell ref="N139:Q139"/>
    <mergeCell ref="S139:V139"/>
    <mergeCell ref="B141:C141"/>
    <mergeCell ref="E141:G147"/>
    <mergeCell ref="I141:L147"/>
    <mergeCell ref="N141:Q147"/>
    <mergeCell ref="S141:V147"/>
    <mergeCell ref="A125:G125"/>
    <mergeCell ref="B129:O129"/>
    <mergeCell ref="B130:W130"/>
    <mergeCell ref="E131:G131"/>
    <mergeCell ref="J131:L131"/>
    <mergeCell ref="O131:Q131"/>
    <mergeCell ref="T131:V131"/>
    <mergeCell ref="B119:W119"/>
    <mergeCell ref="E120:G120"/>
    <mergeCell ref="J120:L120"/>
    <mergeCell ref="O120:Q120"/>
    <mergeCell ref="T120:V120"/>
    <mergeCell ref="D121:D124"/>
    <mergeCell ref="E124:G124"/>
    <mergeCell ref="I124:L124"/>
    <mergeCell ref="N124:Q124"/>
    <mergeCell ref="S124:V124"/>
    <mergeCell ref="B102:C102"/>
    <mergeCell ref="E107:G107"/>
    <mergeCell ref="I107:L107"/>
    <mergeCell ref="N107:Q107"/>
    <mergeCell ref="S107:V107"/>
    <mergeCell ref="B109:C109"/>
    <mergeCell ref="E109:G115"/>
    <mergeCell ref="I109:L115"/>
    <mergeCell ref="N109:Q115"/>
    <mergeCell ref="S109:V115"/>
    <mergeCell ref="A93:G93"/>
    <mergeCell ref="B97:O97"/>
    <mergeCell ref="B98:W98"/>
    <mergeCell ref="E99:G99"/>
    <mergeCell ref="J99:L99"/>
    <mergeCell ref="O99:Q99"/>
    <mergeCell ref="T99:V99"/>
    <mergeCell ref="B87:W87"/>
    <mergeCell ref="E88:G88"/>
    <mergeCell ref="J88:L88"/>
    <mergeCell ref="O88:Q88"/>
    <mergeCell ref="T88:V88"/>
    <mergeCell ref="D89:D92"/>
    <mergeCell ref="E92:G92"/>
    <mergeCell ref="I92:L92"/>
    <mergeCell ref="N92:Q92"/>
    <mergeCell ref="S92:V92"/>
    <mergeCell ref="B70:C70"/>
    <mergeCell ref="E75:G75"/>
    <mergeCell ref="I75:L75"/>
    <mergeCell ref="N75:Q75"/>
    <mergeCell ref="S75:V75"/>
    <mergeCell ref="B77:C77"/>
    <mergeCell ref="E77:G83"/>
    <mergeCell ref="I77:L83"/>
    <mergeCell ref="N77:Q83"/>
    <mergeCell ref="S77:V83"/>
    <mergeCell ref="A61:G61"/>
    <mergeCell ref="B66:W66"/>
    <mergeCell ref="E67:G67"/>
    <mergeCell ref="J67:L67"/>
    <mergeCell ref="O67:Q67"/>
    <mergeCell ref="T67:V67"/>
    <mergeCell ref="B55:W55"/>
    <mergeCell ref="E56:G56"/>
    <mergeCell ref="J56:L56"/>
    <mergeCell ref="O56:Q56"/>
    <mergeCell ref="T56:V56"/>
    <mergeCell ref="D57:D60"/>
    <mergeCell ref="E60:G60"/>
    <mergeCell ref="I60:L60"/>
    <mergeCell ref="N60:Q60"/>
    <mergeCell ref="S60:V60"/>
    <mergeCell ref="B38:C38"/>
    <mergeCell ref="E43:G43"/>
    <mergeCell ref="I43:L43"/>
    <mergeCell ref="N43:Q43"/>
    <mergeCell ref="S43:V43"/>
    <mergeCell ref="B45:C45"/>
    <mergeCell ref="E45:G51"/>
    <mergeCell ref="I45:L51"/>
    <mergeCell ref="N45:Q51"/>
    <mergeCell ref="S45:V51"/>
    <mergeCell ref="B13:C13"/>
    <mergeCell ref="E13:G21"/>
    <mergeCell ref="I13:L21"/>
    <mergeCell ref="N13:Q21"/>
    <mergeCell ref="S13:V21"/>
    <mergeCell ref="A29:G29"/>
    <mergeCell ref="B34:W34"/>
    <mergeCell ref="E35:G35"/>
    <mergeCell ref="J35:L35"/>
    <mergeCell ref="O35:Q35"/>
    <mergeCell ref="T35:V35"/>
    <mergeCell ref="B23:W23"/>
    <mergeCell ref="E24:G24"/>
    <mergeCell ref="J24:L24"/>
    <mergeCell ref="O24:Q24"/>
    <mergeCell ref="T24:V24"/>
    <mergeCell ref="D25:D28"/>
    <mergeCell ref="E28:G28"/>
    <mergeCell ref="I28:L28"/>
    <mergeCell ref="N28:Q28"/>
    <mergeCell ref="S28:V28"/>
    <mergeCell ref="B2:W2"/>
    <mergeCell ref="E3:G3"/>
    <mergeCell ref="J3:L3"/>
    <mergeCell ref="O3:Q3"/>
    <mergeCell ref="T3:V3"/>
    <mergeCell ref="B6:C6"/>
    <mergeCell ref="E11:G11"/>
    <mergeCell ref="I11:L11"/>
    <mergeCell ref="N11:Q11"/>
    <mergeCell ref="S11:V11"/>
  </mergeCells>
  <pageMargins left="0.7" right="0.7" top="0.75" bottom="0.75" header="0.3" footer="0.3"/>
  <pageSetup orientation="portrait" r:id="rId1"/>
  <headerFooter>
    <oddFooter xml:space="preserve">&amp;R&amp;"Microsoft Sans Serif,Bold"&amp;11 &amp;K008000Internal&amp;"Microsoft Sans Serif,Regular"&amp;8&amp;K000000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2510D-D25C-40A3-A330-BF8A49861AD2}">
  <dimension ref="F9:F10"/>
  <sheetViews>
    <sheetView workbookViewId="0">
      <selection activeCell="F11" sqref="F11"/>
    </sheetView>
  </sheetViews>
  <sheetFormatPr defaultRowHeight="15" x14ac:dyDescent="0.25"/>
  <sheetData>
    <row r="9" spans="6:6" x14ac:dyDescent="0.25">
      <c r="F9">
        <v>23459.66</v>
      </c>
    </row>
    <row r="10" spans="6:6" x14ac:dyDescent="0.25">
      <c r="F10">
        <f>F9*3</f>
        <v>70378.98</v>
      </c>
    </row>
  </sheetData>
  <pageMargins left="0.7" right="0.7" top="0.75" bottom="0.75" header="0.3" footer="0.3"/>
  <pageSetup orientation="portrait" r:id="rId1"/>
  <headerFooter>
    <oddFooter xml:space="preserve">&amp;R&amp;"Microsoft Sans Serif,Bold"&amp;11 &amp;K008000Internal&amp;"Microsoft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8264d3a2-3076-411b-b3e7-985c95d00a6c</TitusGUID>
  <TitusMetadata xmlns="">eyJucyI6Imh0dHA6XC9cL3d3dy50aXR1cy5jb21cL25zXC9TQkkgTGlmZSBJbnN1cmFuY2UgQ28uIEx0ZCIsInByb3BzIjpbeyJuIjoiQ2xhc3NpZmljYXRpb24iLCJ2YWxzIjpbeyJ2YWx1ZSI6IkludGVybmFsIn1dfV19</TitusMetadata>
</titus>
</file>

<file path=customXml/itemProps1.xml><?xml version="1.0" encoding="utf-8"?>
<ds:datastoreItem xmlns:ds="http://schemas.openxmlformats.org/officeDocument/2006/customXml" ds:itemID="{A0982D1D-11CD-4381-B205-FBB87CD61D7E}">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Shekhar Phalak</dc:creator>
  <cp:keywords>Internal</cp:keywords>
  <cp:lastModifiedBy>Santosh Mankar</cp:lastModifiedBy>
  <dcterms:created xsi:type="dcterms:W3CDTF">2024-12-18T06:05:53Z</dcterms:created>
  <dcterms:modified xsi:type="dcterms:W3CDTF">2025-01-23T13:25:57Z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8264d3a2-3076-411b-b3e7-985c95d00a6c</vt:lpwstr>
  </property>
  <property fmtid="{D5CDD505-2E9C-101B-9397-08002B2CF9AE}" pid="3" name="Classification">
    <vt:lpwstr>Internal</vt:lpwstr>
  </property>
</Properties>
</file>